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6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definedNames/>
  <calcPr fullCalcOnLoad="1"/>
</workbook>
</file>

<file path=xl/comments7.xml><?xml version="1.0" encoding="utf-8"?>
<comments xmlns="http://schemas.openxmlformats.org/spreadsheetml/2006/main">
  <authors>
    <author>darty</author>
  </authors>
  <commentList>
    <comment ref="AG24" authorId="0">
      <text>
        <r>
          <rPr>
            <b/>
            <sz val="8"/>
            <rFont val="Tahoma"/>
            <family val="0"/>
          </rPr>
          <t>darty:</t>
        </r>
      </text>
    </comment>
  </commentList>
</comments>
</file>

<file path=xl/sharedStrings.xml><?xml version="1.0" encoding="utf-8"?>
<sst xmlns="http://schemas.openxmlformats.org/spreadsheetml/2006/main" count="542" uniqueCount="385">
  <si>
    <t xml:space="preserve">      REPORT OF DRAFT SURVEY  N°</t>
  </si>
  <si>
    <t>VESSEL</t>
  </si>
  <si>
    <t>CARGO</t>
  </si>
  <si>
    <t>LOADING PORT</t>
  </si>
  <si>
    <t>DISCHARGING PORT</t>
  </si>
  <si>
    <t>Nantes</t>
  </si>
  <si>
    <t>PLACE OF SURVEY</t>
  </si>
  <si>
    <t xml:space="preserve">DATE </t>
  </si>
  <si>
    <t>At the request of</t>
  </si>
  <si>
    <t>I, the undersigned,</t>
  </si>
  <si>
    <t>Marine Surveyor</t>
  </si>
  <si>
    <t>that, I went aboard the above mentioned vessel in order to ascertain the quantity of cargo</t>
  </si>
  <si>
    <t>Handling started        :</t>
  </si>
  <si>
    <t>Handling completed   :</t>
  </si>
  <si>
    <t>The draft survey calculation, hereby attached, draws up the cargo weight :</t>
  </si>
  <si>
    <t>M.T.</t>
  </si>
  <si>
    <t>The Bill of Lading was  :</t>
  </si>
  <si>
    <t>Difference                   :</t>
  </si>
  <si>
    <t>Viz                            :</t>
  </si>
  <si>
    <t>%</t>
  </si>
  <si>
    <t>All particulars and hydrostatics informations, imparted by Master come from the various</t>
  </si>
  <si>
    <t>documents used on board.</t>
  </si>
  <si>
    <t>The soundings of the ballasts, the drafts and the density were entered in joint statement</t>
  </si>
  <si>
    <t>with the Chief Officer.</t>
  </si>
  <si>
    <t>These calculations have been carried out contradictorily with the Chief Officer.</t>
  </si>
  <si>
    <t>Issued to the best of our knowledge and ability.</t>
  </si>
  <si>
    <t>Surveyor in charge,</t>
  </si>
  <si>
    <t>Page 2</t>
  </si>
  <si>
    <t>Particulars of the Vessel.</t>
  </si>
  <si>
    <t>Name</t>
  </si>
  <si>
    <t>L.B.P. (m.)</t>
  </si>
  <si>
    <t>Flag</t>
  </si>
  <si>
    <t>Summer Draft  (m.)</t>
  </si>
  <si>
    <t>Call sign</t>
  </si>
  <si>
    <t>Summer freeboard (m.)</t>
  </si>
  <si>
    <t>Registry port</t>
  </si>
  <si>
    <t>L.O.A. (m.)</t>
  </si>
  <si>
    <t>Year built</t>
  </si>
  <si>
    <t>Breadth  (m.)</t>
  </si>
  <si>
    <t>G.R.T.</t>
  </si>
  <si>
    <t>Depth (m.)</t>
  </si>
  <si>
    <t>N.R.T.</t>
  </si>
  <si>
    <t>Light ship Weight,MT</t>
  </si>
  <si>
    <t>Summer D.W</t>
  </si>
  <si>
    <t>Constant declared, MT</t>
  </si>
  <si>
    <t>Number of holds</t>
  </si>
  <si>
    <t>Owners</t>
  </si>
  <si>
    <t>Vessel's agents</t>
  </si>
  <si>
    <t>Cargo</t>
  </si>
  <si>
    <t>Name / Grade</t>
  </si>
  <si>
    <t>B/L weight, M.T.</t>
  </si>
  <si>
    <t>Loadport</t>
  </si>
  <si>
    <t>on ship/shore fig.?</t>
  </si>
  <si>
    <t>Dischargport</t>
  </si>
  <si>
    <t>Cargo on board, as per Chief Officer's cargo plan.</t>
  </si>
  <si>
    <t>Total :</t>
  </si>
  <si>
    <t>Hold n°</t>
  </si>
  <si>
    <t>Weight</t>
  </si>
  <si>
    <t>Time log</t>
  </si>
  <si>
    <t>DATE</t>
  </si>
  <si>
    <t>Arrived on roads</t>
  </si>
  <si>
    <t>Coming from:</t>
  </si>
  <si>
    <t>All fast at berth</t>
  </si>
  <si>
    <t>Survey completed</t>
  </si>
  <si>
    <t>Cargo handling start</t>
  </si>
  <si>
    <t>Cargo hand completed</t>
  </si>
  <si>
    <t>Next destination:</t>
  </si>
  <si>
    <t>Vessel sailed</t>
  </si>
  <si>
    <t>Remarks</t>
  </si>
  <si>
    <t>Arrival</t>
  </si>
  <si>
    <t>Departure</t>
  </si>
  <si>
    <t>Draft reading conditions :</t>
  </si>
  <si>
    <t>Place</t>
  </si>
  <si>
    <t>Sea condition</t>
  </si>
  <si>
    <t>Calm</t>
  </si>
  <si>
    <t>Launch used</t>
  </si>
  <si>
    <t>no</t>
  </si>
  <si>
    <t>Vsl position/berth</t>
  </si>
  <si>
    <t>Hydrostatic tables</t>
  </si>
  <si>
    <t>Yes</t>
  </si>
  <si>
    <t>Ballast sounding tables</t>
  </si>
  <si>
    <t>Ballast trim cor. tables</t>
  </si>
  <si>
    <t>Vessel's staff collaboration</t>
  </si>
  <si>
    <t>good</t>
  </si>
  <si>
    <t>Protest issued</t>
  </si>
  <si>
    <t>Page 3</t>
  </si>
  <si>
    <t>Vessel</t>
  </si>
  <si>
    <t>Port :</t>
  </si>
  <si>
    <t>Date :</t>
  </si>
  <si>
    <t>DRAFTS CALCULATIONS</t>
  </si>
  <si>
    <t>Arrival       :</t>
  </si>
  <si>
    <t>Density :</t>
  </si>
  <si>
    <t>Departure :</t>
  </si>
  <si>
    <t>L.B.P. (m):</t>
  </si>
  <si>
    <t>(metres)</t>
  </si>
  <si>
    <t xml:space="preserve">  Forward draft, distance to perp.  (-if draft aft/perp. ; + if fwd)</t>
  </si>
  <si>
    <t xml:space="preserve">  Midship's draft, distance to perp.  (-if draft aft/perp. ; + if fwd)</t>
  </si>
  <si>
    <t xml:space="preserve">  Aft draft, distance to perp.  (-if draft aft/perp. ; + if fwd)</t>
  </si>
  <si>
    <t xml:space="preserve">  Length between marks</t>
  </si>
  <si>
    <t xml:space="preserve">  Forward draft, porside.</t>
  </si>
  <si>
    <t xml:space="preserve">  Forward draft, starboarside.</t>
  </si>
  <si>
    <t xml:space="preserve">  Forward mean draft.</t>
  </si>
  <si>
    <t xml:space="preserve">  Aft draft, portside.</t>
  </si>
  <si>
    <t xml:space="preserve">  Aft draft, starboardside.</t>
  </si>
  <si>
    <t xml:space="preserve">  Aft mean draft.</t>
  </si>
  <si>
    <t xml:space="preserve">  Apparent trim (on read drafts)</t>
  </si>
  <si>
    <t xml:space="preserve">  Forward draft correction to perp.</t>
  </si>
  <si>
    <t xml:space="preserve">  Forward mean draft corrected draft.</t>
  </si>
  <si>
    <t xml:space="preserve">  Aft draft correction to perp.</t>
  </si>
  <si>
    <t xml:space="preserve">  Aft mean draft corrected draft.</t>
  </si>
  <si>
    <t xml:space="preserve">  Trim</t>
  </si>
  <si>
    <t xml:space="preserve">  Fore and aft mean draft</t>
  </si>
  <si>
    <t xml:space="preserve">  Midship's portside draft.</t>
  </si>
  <si>
    <t xml:space="preserve">  Midship's starboardside draft.</t>
  </si>
  <si>
    <t xml:space="preserve">  Midship's mean draft.</t>
  </si>
  <si>
    <t xml:space="preserve">  Midship's draft correction to perp.</t>
  </si>
  <si>
    <t xml:space="preserve">  Midship's mean draft corrected draft.</t>
  </si>
  <si>
    <t xml:space="preserve">  Hull deformation (sagging - / hogging +)</t>
  </si>
  <si>
    <t xml:space="preserve">  Vessel's MEAN DRAFT</t>
  </si>
  <si>
    <t xml:space="preserve"> (Fore draft+Aft draft+6Mid.draft)/8</t>
  </si>
  <si>
    <t>Page 4</t>
  </si>
  <si>
    <t xml:space="preserve">                 ARRIVAL</t>
  </si>
  <si>
    <t>DEPARTURE</t>
  </si>
  <si>
    <t>BALLAST</t>
  </si>
  <si>
    <t>TOTAL</t>
  </si>
  <si>
    <t>TANK</t>
  </si>
  <si>
    <t>CAPACITY</t>
  </si>
  <si>
    <t>SOUND</t>
  </si>
  <si>
    <t>VOLUMES</t>
  </si>
  <si>
    <t>Density</t>
  </si>
  <si>
    <t>WEIGHT</t>
  </si>
  <si>
    <t>N°</t>
  </si>
  <si>
    <t>(M3)</t>
  </si>
  <si>
    <t>(M.)</t>
  </si>
  <si>
    <t>(T.)</t>
  </si>
  <si>
    <t>Page 5</t>
  </si>
  <si>
    <t>HYDROSTATIC PARTICULARS</t>
  </si>
  <si>
    <t>DRAFT</t>
  </si>
  <si>
    <t>DISPLACE</t>
  </si>
  <si>
    <t>T.P.C.</t>
  </si>
  <si>
    <t>L.C.F.</t>
  </si>
  <si>
    <t>M.T.C.</t>
  </si>
  <si>
    <t>Corrected</t>
  </si>
  <si>
    <t>Sea Water</t>
  </si>
  <si>
    <t>Tonnes per cm</t>
  </si>
  <si>
    <t>from midship</t>
  </si>
  <si>
    <t>Moment to</t>
  </si>
  <si>
    <t>Mean</t>
  </si>
  <si>
    <t>d=1.025</t>
  </si>
  <si>
    <t>Immersion</t>
  </si>
  <si>
    <t>(+if aft/perp)</t>
  </si>
  <si>
    <t>change trim</t>
  </si>
  <si>
    <t>(-iffwd/perp)</t>
  </si>
  <si>
    <t>(Diff for 1 m)</t>
  </si>
  <si>
    <t>m.</t>
  </si>
  <si>
    <t>M/Tonnes</t>
  </si>
  <si>
    <t>MT/cm</t>
  </si>
  <si>
    <t>MTxm./cm</t>
  </si>
  <si>
    <t>ARRIVAL</t>
  </si>
  <si>
    <t>TRIM CORRECTIONS</t>
  </si>
  <si>
    <t>To apply on the displacement</t>
  </si>
  <si>
    <t>(MT)</t>
  </si>
  <si>
    <t xml:space="preserve">  FIRST TRIM CORRECTION</t>
  </si>
  <si>
    <t xml:space="preserve">  SECOND TRIM CORRECTION</t>
  </si>
  <si>
    <t xml:space="preserve">  TOTAL TRIM CORRECTION</t>
  </si>
  <si>
    <t>Page 6</t>
  </si>
  <si>
    <t>Vessel        :</t>
  </si>
  <si>
    <t>Cargo  :</t>
  </si>
  <si>
    <t>SUMMARY OF THE DEDUCTABLE WEIGHTS.</t>
  </si>
  <si>
    <t>ON</t>
  </si>
  <si>
    <t>BOARDED</t>
  </si>
  <si>
    <t>USED OR</t>
  </si>
  <si>
    <t>LANDED</t>
  </si>
  <si>
    <t xml:space="preserve">   BALLAST</t>
  </si>
  <si>
    <t xml:space="preserve">   FRESH WATER</t>
  </si>
  <si>
    <t xml:space="preserve">   FUEL OIL</t>
  </si>
  <si>
    <t xml:space="preserve">   DIESEL OIL</t>
  </si>
  <si>
    <t xml:space="preserve">   LUB.OIL</t>
  </si>
  <si>
    <t xml:space="preserve">   SLOPS</t>
  </si>
  <si>
    <t xml:space="preserve">   Others</t>
  </si>
  <si>
    <t xml:space="preserve">   TOTAL</t>
  </si>
  <si>
    <t>OUTTURN WEIGHT CALCULATION</t>
  </si>
  <si>
    <t xml:space="preserve">   VESSEL'S MEAN DRAFT                                     m.</t>
  </si>
  <si>
    <t xml:space="preserve">   DISPLACEMENT : d=1.025                                  MT</t>
  </si>
  <si>
    <t xml:space="preserve">   TRIM CORRECTION                                            MT</t>
  </si>
  <si>
    <t xml:space="preserve">   TRIM CORRECTED DISPLACEMENT                MT</t>
  </si>
  <si>
    <t xml:space="preserve">   DENSITY</t>
  </si>
  <si>
    <t xml:space="preserve">   DENSITY CORRECTED DISPLACEMENT          MT</t>
  </si>
  <si>
    <t xml:space="preserve">   DEDUCTABLE WEIGHTS                                    MT</t>
  </si>
  <si>
    <t xml:space="preserve">   NET DISPLACEMENT                                         MT</t>
  </si>
  <si>
    <t>MT</t>
  </si>
  <si>
    <t xml:space="preserve">   B/L WEIGHT</t>
  </si>
  <si>
    <t xml:space="preserve">   DIFFERENCE</t>
  </si>
  <si>
    <t xml:space="preserve">   VIZ ....</t>
  </si>
  <si>
    <t>DRAFT SURVEY</t>
  </si>
  <si>
    <t>PARTICULARS</t>
  </si>
  <si>
    <t>Ship's name</t>
  </si>
  <si>
    <t>INITIAL</t>
  </si>
  <si>
    <t>FINAL</t>
  </si>
  <si>
    <t>LBP</t>
  </si>
  <si>
    <t>Ballasts</t>
  </si>
  <si>
    <t>Capacity</t>
  </si>
  <si>
    <t>Sound</t>
  </si>
  <si>
    <t>Volume</t>
  </si>
  <si>
    <t xml:space="preserve">Weight </t>
  </si>
  <si>
    <t>Summer draft</t>
  </si>
  <si>
    <t>M3</t>
  </si>
  <si>
    <t>M/T</t>
  </si>
  <si>
    <t>Summer freeboard</t>
  </si>
  <si>
    <t>INTERPOLATION</t>
  </si>
  <si>
    <t>L.O.A.</t>
  </si>
  <si>
    <t>Table draft up  (A)</t>
  </si>
  <si>
    <t>GRT</t>
  </si>
  <si>
    <t>Breadth</t>
  </si>
  <si>
    <t>Dist. PP of Fwd draft</t>
  </si>
  <si>
    <t>Table draft down (B)</t>
  </si>
  <si>
    <t>NRT</t>
  </si>
  <si>
    <t>Depth</t>
  </si>
  <si>
    <t>Dist. PP of Aft draft</t>
  </si>
  <si>
    <t xml:space="preserve"> Mean of mean (G)</t>
  </si>
  <si>
    <t>Summer DW</t>
  </si>
  <si>
    <t>Light ship</t>
  </si>
  <si>
    <t>Dist. PP of Mid draft</t>
  </si>
  <si>
    <t>J=(A-B)*100</t>
  </si>
  <si>
    <t>Constant</t>
  </si>
  <si>
    <t>H=(A-G)*100</t>
  </si>
  <si>
    <t>Dist. between marks</t>
  </si>
  <si>
    <t>Vessels Agents</t>
  </si>
  <si>
    <t>SCAC</t>
  </si>
  <si>
    <t>LCF CALCUL</t>
  </si>
  <si>
    <t>Drafts</t>
  </si>
  <si>
    <t>LCF up  (C)</t>
  </si>
  <si>
    <t>Fwd port</t>
  </si>
  <si>
    <t>LCF down  (D)</t>
  </si>
  <si>
    <t>Fwd Stb</t>
  </si>
  <si>
    <t>E=(C-D)</t>
  </si>
  <si>
    <t>Statements of facts</t>
  </si>
  <si>
    <t>Date</t>
  </si>
  <si>
    <t>Hours</t>
  </si>
  <si>
    <t>Fwd mean</t>
  </si>
  <si>
    <t>F=E/J</t>
  </si>
  <si>
    <t>Ship coming from</t>
  </si>
  <si>
    <t>I=C-(F*H)</t>
  </si>
  <si>
    <t>Arrived on road</t>
  </si>
  <si>
    <t>Aft port</t>
  </si>
  <si>
    <t>LBP/2</t>
  </si>
  <si>
    <t>Berthed</t>
  </si>
  <si>
    <t>Aft Stb</t>
  </si>
  <si>
    <t>First DS completed</t>
  </si>
  <si>
    <t>Aft mean</t>
  </si>
  <si>
    <t>dcf =</t>
  </si>
  <si>
    <t>dcf=</t>
  </si>
  <si>
    <t>Start loading/dish.</t>
  </si>
  <si>
    <t>Completion</t>
  </si>
  <si>
    <t>Apparent trim</t>
  </si>
  <si>
    <t>dcf CALCUL</t>
  </si>
  <si>
    <t>Second DS complet</t>
  </si>
  <si>
    <t>dcf up  (C)</t>
  </si>
  <si>
    <t>Sailing</t>
  </si>
  <si>
    <t>Fwd correction</t>
  </si>
  <si>
    <t>dcf down  (D)</t>
  </si>
  <si>
    <t>Next destination</t>
  </si>
  <si>
    <t>Fwd mean corrected</t>
  </si>
  <si>
    <t>Aft correction</t>
  </si>
  <si>
    <t>B/L Weight</t>
  </si>
  <si>
    <t>Aft mean corrected</t>
  </si>
  <si>
    <t>VORN CALCUL</t>
  </si>
  <si>
    <t>Trim</t>
  </si>
  <si>
    <t>Vorn up  (C)</t>
  </si>
  <si>
    <t>Vorn down  (D)</t>
  </si>
  <si>
    <t>Mean draft</t>
  </si>
  <si>
    <t>Sonde basse (table)</t>
  </si>
  <si>
    <t>Cbm (table)</t>
  </si>
  <si>
    <t>Mid port</t>
  </si>
  <si>
    <t>vorn =</t>
  </si>
  <si>
    <t>Sonde trouvée</t>
  </si>
  <si>
    <t>Cbm Résultat</t>
  </si>
  <si>
    <t>Mid Stb</t>
  </si>
  <si>
    <t>Mid mean</t>
  </si>
  <si>
    <t>HINTEN CALCUL</t>
  </si>
  <si>
    <t>Sonde haute (table)</t>
  </si>
  <si>
    <t>Hinten up  (C)</t>
  </si>
  <si>
    <t>Mid correction</t>
  </si>
  <si>
    <t>Hinten down  (D)</t>
  </si>
  <si>
    <t>Total ballasts</t>
  </si>
  <si>
    <t>Mid corrected</t>
  </si>
  <si>
    <t>Deformation</t>
  </si>
  <si>
    <t>hinten =</t>
  </si>
  <si>
    <t>FRESH WATER</t>
  </si>
  <si>
    <t>MEAN of MEAN</t>
  </si>
  <si>
    <t>Fresh water tank</t>
  </si>
  <si>
    <t>Assiette</t>
  </si>
  <si>
    <t>DEDUCTIONS</t>
  </si>
  <si>
    <t>TPC CALCUL</t>
  </si>
  <si>
    <t>basse</t>
  </si>
  <si>
    <t>du navire</t>
  </si>
  <si>
    <t>haute</t>
  </si>
  <si>
    <t>F.O</t>
  </si>
  <si>
    <t>TPC up  (C)</t>
  </si>
  <si>
    <t>Total fresh water</t>
  </si>
  <si>
    <t>D.O</t>
  </si>
  <si>
    <t>TPC down  (D)</t>
  </si>
  <si>
    <t>Ballast water</t>
  </si>
  <si>
    <t>Fresh water</t>
  </si>
  <si>
    <t>BUNKERS</t>
  </si>
  <si>
    <t>Lub oil</t>
  </si>
  <si>
    <t>TPC =</t>
  </si>
  <si>
    <t>Others</t>
  </si>
  <si>
    <t>Fuel oil</t>
  </si>
  <si>
    <t>Total deductions</t>
  </si>
  <si>
    <t>DISPLACEMENT CALCUL</t>
  </si>
  <si>
    <t>Diesel oil</t>
  </si>
  <si>
    <t>Displ. up  (C)</t>
  </si>
  <si>
    <t>CALCULATION ELEMENTS</t>
  </si>
  <si>
    <t>Displ. down  (D)</t>
  </si>
  <si>
    <t xml:space="preserve"> Others</t>
  </si>
  <si>
    <t>LCF</t>
  </si>
  <si>
    <t>Total bunkers</t>
  </si>
  <si>
    <t>TPC</t>
  </si>
  <si>
    <t>Displac. =</t>
  </si>
  <si>
    <t>MTC(DM+0.5)</t>
  </si>
  <si>
    <t>TOTAL DEDUCTIONS</t>
  </si>
  <si>
    <t>MTC(DM-0.5)</t>
  </si>
  <si>
    <t>MTC (DM +0.5) CALCUL</t>
  </si>
  <si>
    <t>dM/dZ</t>
  </si>
  <si>
    <t>MTC up  (C)</t>
  </si>
  <si>
    <t>Observed density</t>
  </si>
  <si>
    <t>MTC down  (D)</t>
  </si>
  <si>
    <t>Sea water displac.</t>
  </si>
  <si>
    <t>1st trim correction</t>
  </si>
  <si>
    <t>Mtc + 0.5</t>
  </si>
  <si>
    <t>2nd trm correction</t>
  </si>
  <si>
    <t>Corr. displ. sea water</t>
  </si>
  <si>
    <t>MTC (DM -0.5) CALCUL</t>
  </si>
  <si>
    <t>Displ. density observ</t>
  </si>
  <si>
    <t>Net displacement</t>
  </si>
  <si>
    <t>Initial displacement</t>
  </si>
  <si>
    <t>Mtc - 0.5</t>
  </si>
  <si>
    <t>CARGO loaded/discharged</t>
  </si>
  <si>
    <t>S.C.A.C. Nantes</t>
  </si>
  <si>
    <t>Landais Jean Pierre</t>
  </si>
  <si>
    <t>Marine Surveyor, hereby certify</t>
  </si>
  <si>
    <t>Loading port</t>
  </si>
  <si>
    <t>Discharging port</t>
  </si>
  <si>
    <t>BALLAST CONDITION, SOUNDINGS &amp; QUANTITIES</t>
  </si>
  <si>
    <t xml:space="preserve">   LOADED / DISCHARGED WEIGHT ...............................................</t>
  </si>
  <si>
    <t>loaded / discharged, by draft survey, before and after transfer.</t>
  </si>
  <si>
    <t>Full</t>
  </si>
  <si>
    <t>Captain</t>
  </si>
  <si>
    <t>Difference</t>
  </si>
  <si>
    <t>Grain capacity (cbm)</t>
  </si>
  <si>
    <t>Bale capacity (cbm)</t>
  </si>
  <si>
    <t>Grain capacity Cbm</t>
  </si>
  <si>
    <t>Bale capacity Cbm</t>
  </si>
  <si>
    <t>B/L</t>
  </si>
  <si>
    <t>FPT</t>
  </si>
  <si>
    <t>DB</t>
  </si>
  <si>
    <t>AFTPT</t>
  </si>
  <si>
    <t>port</t>
  </si>
  <si>
    <t>starboard</t>
  </si>
  <si>
    <t>HOURS</t>
  </si>
  <si>
    <t>DATES</t>
  </si>
  <si>
    <t>Starboard</t>
  </si>
  <si>
    <t>09h00</t>
  </si>
  <si>
    <t>14h00</t>
  </si>
  <si>
    <t>Nil</t>
  </si>
  <si>
    <t>Boiler water</t>
  </si>
  <si>
    <t>Russia</t>
  </si>
  <si>
    <t>19h00</t>
  </si>
  <si>
    <t>05h00</t>
  </si>
  <si>
    <t>10h00</t>
  </si>
  <si>
    <t>12h00</t>
  </si>
  <si>
    <t>Tahkoluto</t>
  </si>
  <si>
    <t>To order</t>
  </si>
  <si>
    <t>Saint-Petersburg</t>
  </si>
  <si>
    <t xml:space="preserve">J.S. NW Fleet </t>
  </si>
  <si>
    <t>SORMOVSKIY 3057</t>
  </si>
  <si>
    <t>0.030</t>
  </si>
  <si>
    <t>UCVL</t>
  </si>
  <si>
    <t>Y. SYROV</t>
  </si>
  <si>
    <t>LOMONOSOV</t>
  </si>
  <si>
    <t>AMMONNITRATE</t>
  </si>
  <si>
    <t>1.025</t>
  </si>
  <si>
    <t xml:space="preserve">    1.025</t>
  </si>
  <si>
    <t>1Full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</si>
</sst>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_-* #,##0.000\ _F_-;\-* #,##0.000\ _F_-;_-* &quot;-&quot;??\ _F_-;_-@_-"/>
    <numFmt numFmtId="177" formatCode="_-* #,##0.0000\ _F_-;\-* #,##0.0000\ _F_-;_-* &quot;-&quot;??\ _F_-;_-@_-"/>
    <numFmt numFmtId="178" formatCode="_-* #,##0.00000\ _F_-;\-* #,##0.00000\ _F_-;_-* &quot;-&quot;??\ _F_-;_-@_-"/>
    <numFmt numFmtId="179" formatCode="_-* #,##0.000000\ _F_-;\-* #,##0.000000\ _F_-;_-* &quot;-&quot;??\ _F_-;_-@_-"/>
    <numFmt numFmtId="180" formatCode="0.0000000"/>
    <numFmt numFmtId="181" formatCode="0.000000"/>
    <numFmt numFmtId="182" formatCode="0.00000000"/>
    <numFmt numFmtId="183" formatCode="0.000000000"/>
    <numFmt numFmtId="184" formatCode="#,##0.0"/>
    <numFmt numFmtId="185" formatCode="#,##0.000"/>
    <numFmt numFmtId="186" formatCode="#,##0.0000"/>
    <numFmt numFmtId="187" formatCode="_-* #,##0.0\ _F_-;\-* #,##0.0\ _F_-;_-* &quot;-&quot;??\ _F_-;_-@_-"/>
    <numFmt numFmtId="188" formatCode="#,##0.00;[Red]\-#,##0.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0"/>
      <name val="MS Sans Serif"/>
      <family val="0"/>
    </font>
    <font>
      <b/>
      <sz val="8"/>
      <name val="MS Sans Serif"/>
      <family val="0"/>
    </font>
    <font>
      <b/>
      <u val="single"/>
      <sz val="10"/>
      <name val="MS Sans Serif"/>
      <family val="0"/>
    </font>
    <font>
      <sz val="10"/>
      <name val="MS Sans Serif"/>
      <family val="0"/>
    </font>
    <font>
      <sz val="11"/>
      <name val="Arial"/>
      <family val="2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6" fontId="0" fillId="0" borderId="15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1" fillId="0" borderId="15" xfId="0" applyNumberFormat="1" applyFont="1" applyBorder="1" applyAlignment="1">
      <alignment/>
    </xf>
    <xf numFmtId="176" fontId="0" fillId="0" borderId="15" xfId="0" applyNumberFormat="1" applyBorder="1" applyAlignment="1" applyProtection="1">
      <alignment/>
      <protection hidden="1"/>
    </xf>
    <xf numFmtId="176" fontId="0" fillId="0" borderId="15" xfId="18" applyNumberFormat="1" applyBorder="1" applyAlignment="1" applyProtection="1">
      <alignment/>
      <protection locked="0"/>
    </xf>
    <xf numFmtId="176" fontId="0" fillId="0" borderId="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0" applyNumberFormat="1" applyAlignment="1" applyProtection="1">
      <alignment horizontal="left"/>
      <protection locked="0"/>
    </xf>
    <xf numFmtId="173" fontId="0" fillId="0" borderId="0" xfId="0" applyNumberFormat="1" applyAlignment="1">
      <alignment horizontal="left"/>
    </xf>
    <xf numFmtId="0" fontId="0" fillId="0" borderId="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4" fontId="0" fillId="0" borderId="0" xfId="0" applyNumberFormat="1" applyAlignment="1">
      <alignment horizontal="left"/>
    </xf>
    <xf numFmtId="4" fontId="0" fillId="0" borderId="15" xfId="0" applyNumberFormat="1" applyBorder="1" applyAlignment="1">
      <alignment/>
    </xf>
    <xf numFmtId="185" fontId="0" fillId="0" borderId="3" xfId="0" applyNumberFormat="1" applyBorder="1" applyAlignment="1">
      <alignment/>
    </xf>
    <xf numFmtId="185" fontId="0" fillId="0" borderId="15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14" xfId="0" applyNumberFormat="1" applyBorder="1" applyAlignment="1">
      <alignment/>
    </xf>
    <xf numFmtId="185" fontId="0" fillId="0" borderId="4" xfId="0" applyNumberFormat="1" applyBorder="1" applyAlignment="1">
      <alignment/>
    </xf>
    <xf numFmtId="185" fontId="0" fillId="0" borderId="2" xfId="0" applyNumberForma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9" xfId="0" applyNumberFormat="1" applyBorder="1" applyAlignment="1">
      <alignment/>
    </xf>
    <xf numFmtId="185" fontId="0" fillId="0" borderId="8" xfId="0" applyNumberFormat="1" applyBorder="1" applyAlignment="1">
      <alignment/>
    </xf>
    <xf numFmtId="185" fontId="0" fillId="0" borderId="0" xfId="0" applyNumberFormat="1" applyAlignment="1">
      <alignment horizontal="right"/>
    </xf>
    <xf numFmtId="185" fontId="0" fillId="0" borderId="0" xfId="0" applyNumberFormat="1" applyAlignment="1">
      <alignment horizontal="center"/>
    </xf>
    <xf numFmtId="185" fontId="0" fillId="0" borderId="3" xfId="0" applyNumberFormat="1" applyBorder="1" applyAlignment="1">
      <alignment horizontal="center"/>
    </xf>
    <xf numFmtId="3" fontId="0" fillId="0" borderId="0" xfId="0" applyNumberFormat="1" applyAlignment="1">
      <alignment/>
    </xf>
    <xf numFmtId="185" fontId="0" fillId="0" borderId="15" xfId="0" applyNumberFormat="1" applyBorder="1" applyAlignment="1" applyProtection="1">
      <alignment/>
      <protection locked="0"/>
    </xf>
    <xf numFmtId="185" fontId="0" fillId="0" borderId="3" xfId="0" applyNumberFormat="1" applyBorder="1" applyAlignment="1" applyProtection="1">
      <alignment/>
      <protection locked="0"/>
    </xf>
    <xf numFmtId="185" fontId="0" fillId="0" borderId="15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15" xfId="0" applyNumberFormat="1" applyBorder="1" applyAlignment="1">
      <alignment/>
    </xf>
    <xf numFmtId="185" fontId="0" fillId="0" borderId="15" xfId="0" applyNumberFormat="1" applyBorder="1" applyAlignment="1" applyProtection="1">
      <alignment horizontal="center"/>
      <protection locked="0"/>
    </xf>
    <xf numFmtId="185" fontId="0" fillId="0" borderId="0" xfId="0" applyNumberFormat="1" applyBorder="1" applyAlignment="1">
      <alignment horizontal="center"/>
    </xf>
    <xf numFmtId="185" fontId="0" fillId="0" borderId="14" xfId="0" applyNumberFormat="1" applyBorder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 applyProtection="1">
      <alignment/>
      <protection locked="0"/>
    </xf>
    <xf numFmtId="3" fontId="0" fillId="0" borderId="17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185" fontId="0" fillId="0" borderId="17" xfId="0" applyNumberFormat="1" applyBorder="1" applyAlignment="1" applyProtection="1">
      <alignment/>
      <protection locked="0"/>
    </xf>
    <xf numFmtId="185" fontId="0" fillId="0" borderId="5" xfId="0" applyNumberFormat="1" applyBorder="1" applyAlignment="1">
      <alignment/>
    </xf>
    <xf numFmtId="185" fontId="0" fillId="0" borderId="6" xfId="0" applyNumberFormat="1" applyBorder="1" applyAlignment="1">
      <alignment/>
    </xf>
    <xf numFmtId="185" fontId="0" fillId="0" borderId="16" xfId="0" applyNumberFormat="1" applyBorder="1" applyAlignment="1" applyProtection="1">
      <alignment/>
      <protection locked="0"/>
    </xf>
    <xf numFmtId="185" fontId="0" fillId="0" borderId="9" xfId="0" applyNumberFormat="1" applyBorder="1" applyAlignment="1" applyProtection="1">
      <alignment/>
      <protection locked="0"/>
    </xf>
    <xf numFmtId="185" fontId="0" fillId="0" borderId="11" xfId="0" applyNumberFormat="1" applyBorder="1" applyAlignment="1" applyProtection="1">
      <alignment/>
      <protection locked="0"/>
    </xf>
    <xf numFmtId="185" fontId="0" fillId="0" borderId="7" xfId="0" applyNumberFormat="1" applyBorder="1" applyAlignment="1" applyProtection="1">
      <alignment/>
      <protection/>
    </xf>
    <xf numFmtId="185" fontId="0" fillId="0" borderId="9" xfId="0" applyNumberFormat="1" applyBorder="1" applyAlignment="1" applyProtection="1">
      <alignment/>
      <protection/>
    </xf>
    <xf numFmtId="3" fontId="0" fillId="0" borderId="7" xfId="0" applyNumberFormat="1" applyBorder="1" applyAlignment="1" applyProtection="1">
      <alignment/>
      <protection/>
    </xf>
    <xf numFmtId="3" fontId="0" fillId="0" borderId="9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185" fontId="0" fillId="0" borderId="8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5" fontId="0" fillId="0" borderId="10" xfId="0" applyNumberFormat="1" applyBorder="1" applyAlignment="1" applyProtection="1">
      <alignment/>
      <protection/>
    </xf>
    <xf numFmtId="185" fontId="0" fillId="0" borderId="1" xfId="0" applyNumberForma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9" xfId="0" applyFont="1" applyBorder="1" applyAlignment="1">
      <alignment/>
    </xf>
    <xf numFmtId="185" fontId="7" fillId="0" borderId="2" xfId="0" applyNumberFormat="1" applyFont="1" applyBorder="1" applyAlignment="1" applyProtection="1">
      <alignment/>
      <protection locked="0"/>
    </xf>
    <xf numFmtId="185" fontId="7" fillId="0" borderId="15" xfId="0" applyNumberFormat="1" applyFont="1" applyBorder="1" applyAlignment="1" applyProtection="1">
      <alignment/>
      <protection locked="0"/>
    </xf>
    <xf numFmtId="185" fontId="7" fillId="0" borderId="5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5" fontId="8" fillId="0" borderId="15" xfId="0" applyNumberFormat="1" applyFont="1" applyBorder="1" applyAlignment="1" applyProtection="1">
      <alignment/>
      <protection locked="0"/>
    </xf>
    <xf numFmtId="0" fontId="9" fillId="0" borderId="3" xfId="0" applyFont="1" applyBorder="1" applyAlignment="1">
      <alignment/>
    </xf>
    <xf numFmtId="185" fontId="0" fillId="0" borderId="18" xfId="0" applyNumberFormat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185" fontId="8" fillId="0" borderId="2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85" fontId="7" fillId="0" borderId="14" xfId="0" applyNumberFormat="1" applyFont="1" applyBorder="1" applyAlignment="1">
      <alignment horizontal="center"/>
    </xf>
    <xf numFmtId="185" fontId="0" fillId="0" borderId="13" xfId="0" applyNumberFormat="1" applyBorder="1" applyAlignment="1">
      <alignment/>
    </xf>
    <xf numFmtId="185" fontId="11" fillId="0" borderId="0" xfId="0" applyNumberFormat="1" applyFont="1" applyAlignment="1">
      <alignment horizontal="left"/>
    </xf>
    <xf numFmtId="185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4" fillId="0" borderId="3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2" borderId="6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6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Alignment="1" quotePrefix="1">
      <alignment horizontal="left"/>
    </xf>
    <xf numFmtId="0" fontId="0" fillId="0" borderId="0" xfId="0" applyAlignment="1" applyProtection="1" quotePrefix="1">
      <alignment horizontal="left"/>
      <protection locked="0"/>
    </xf>
    <xf numFmtId="0" fontId="0" fillId="0" borderId="8" xfId="0" applyBorder="1" applyAlignment="1" quotePrefix="1">
      <alignment horizontal="left"/>
    </xf>
    <xf numFmtId="185" fontId="0" fillId="0" borderId="16" xfId="0" applyNumberFormat="1" applyBorder="1" applyAlignment="1" applyProtection="1">
      <alignment horizontal="left"/>
      <protection locked="0"/>
    </xf>
    <xf numFmtId="185" fontId="0" fillId="0" borderId="13" xfId="0" applyNumberFormat="1" applyBorder="1" applyAlignment="1" applyProtection="1">
      <alignment/>
      <protection locked="0"/>
    </xf>
    <xf numFmtId="185" fontId="7" fillId="0" borderId="0" xfId="0" applyNumberFormat="1" applyFont="1" applyBorder="1" applyAlignment="1" applyProtection="1">
      <alignment/>
      <protection locked="0"/>
    </xf>
    <xf numFmtId="4" fontId="7" fillId="0" borderId="2" xfId="0" applyNumberFormat="1" applyFont="1" applyBorder="1" applyAlignment="1" applyProtection="1">
      <alignment horizontal="center"/>
      <protection locked="0"/>
    </xf>
    <xf numFmtId="185" fontId="7" fillId="0" borderId="2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 quotePrefix="1">
      <alignment horizontal="left"/>
      <protection locked="0"/>
    </xf>
    <xf numFmtId="185" fontId="0" fillId="0" borderId="3" xfId="0" applyNumberFormat="1" applyBorder="1" applyAlignment="1" applyProtection="1">
      <alignment horizontal="center"/>
      <protection/>
    </xf>
    <xf numFmtId="185" fontId="0" fillId="0" borderId="15" xfId="0" applyNumberFormat="1" applyBorder="1" applyAlignment="1" applyProtection="1">
      <alignment horizontal="center"/>
      <protection/>
    </xf>
    <xf numFmtId="185" fontId="0" fillId="0" borderId="0" xfId="0" applyNumberFormat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2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/>
    </xf>
    <xf numFmtId="0" fontId="0" fillId="0" borderId="15" xfId="0" applyBorder="1" applyAlignment="1" applyProtection="1">
      <alignment/>
      <protection/>
    </xf>
    <xf numFmtId="0" fontId="15" fillId="0" borderId="0" xfId="0" applyFont="1" applyAlignment="1">
      <alignment horizontal="left"/>
    </xf>
    <xf numFmtId="173" fontId="1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73" fontId="0" fillId="0" borderId="12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14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173" fontId="14" fillId="0" borderId="13" xfId="0" applyNumberFormat="1" applyFont="1" applyBorder="1" applyAlignment="1">
      <alignment/>
    </xf>
    <xf numFmtId="0" fontId="13" fillId="0" borderId="14" xfId="0" applyFont="1" applyBorder="1" applyAlignment="1">
      <alignment horizontal="left"/>
    </xf>
    <xf numFmtId="173" fontId="14" fillId="0" borderId="15" xfId="0" applyNumberFormat="1" applyFon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1" xfId="0" applyNumberFormat="1" applyBorder="1" applyAlignment="1">
      <alignment/>
    </xf>
    <xf numFmtId="0" fontId="13" fillId="0" borderId="2" xfId="0" applyFont="1" applyBorder="1" applyAlignment="1">
      <alignment horizontal="left"/>
    </xf>
    <xf numFmtId="173" fontId="13" fillId="0" borderId="15" xfId="0" applyNumberFormat="1" applyFont="1" applyBorder="1" applyAlignment="1">
      <alignment/>
    </xf>
    <xf numFmtId="173" fontId="13" fillId="0" borderId="3" xfId="0" applyNumberFormat="1" applyFont="1" applyBorder="1" applyAlignment="1">
      <alignment/>
    </xf>
    <xf numFmtId="173" fontId="13" fillId="0" borderId="0" xfId="0" applyNumberFormat="1" applyFont="1" applyAlignment="1">
      <alignment/>
    </xf>
    <xf numFmtId="0" fontId="13" fillId="0" borderId="5" xfId="0" applyFon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9" xfId="0" applyNumberFormat="1" applyBorder="1" applyAlignment="1">
      <alignment/>
    </xf>
    <xf numFmtId="0" fontId="13" fillId="0" borderId="15" xfId="0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173" fontId="0" fillId="0" borderId="10" xfId="0" applyNumberFormat="1" applyBorder="1" applyAlignment="1">
      <alignment/>
    </xf>
    <xf numFmtId="173" fontId="14" fillId="0" borderId="9" xfId="0" applyNumberFormat="1" applyFon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13" fillId="0" borderId="4" xfId="0" applyNumberFormat="1" applyFont="1" applyBorder="1" applyAlignment="1">
      <alignment/>
    </xf>
    <xf numFmtId="173" fontId="0" fillId="0" borderId="2" xfId="0" applyNumberFormat="1" applyBorder="1" applyAlignment="1">
      <alignment/>
    </xf>
    <xf numFmtId="0" fontId="13" fillId="0" borderId="2" xfId="0" applyFont="1" applyBorder="1" applyAlignment="1">
      <alignment horizontal="right"/>
    </xf>
    <xf numFmtId="173" fontId="14" fillId="0" borderId="4" xfId="0" applyNumberFormat="1" applyFont="1" applyBorder="1" applyAlignment="1">
      <alignment/>
    </xf>
    <xf numFmtId="173" fontId="14" fillId="0" borderId="12" xfId="0" applyNumberFormat="1" applyFont="1" applyBorder="1" applyAlignment="1">
      <alignment/>
    </xf>
    <xf numFmtId="173" fontId="13" fillId="0" borderId="2" xfId="0" applyNumberFormat="1" applyFont="1" applyBorder="1" applyAlignment="1">
      <alignment/>
    </xf>
    <xf numFmtId="173" fontId="13" fillId="0" borderId="6" xfId="0" applyNumberFormat="1" applyFont="1" applyBorder="1" applyAlignment="1">
      <alignment/>
    </xf>
    <xf numFmtId="173" fontId="13" fillId="0" borderId="12" xfId="0" applyNumberFormat="1" applyFont="1" applyBorder="1" applyAlignment="1">
      <alignment/>
    </xf>
    <xf numFmtId="173" fontId="13" fillId="0" borderId="5" xfId="0" applyNumberFormat="1" applyFont="1" applyBorder="1" applyAlignment="1">
      <alignment/>
    </xf>
    <xf numFmtId="0" fontId="13" fillId="0" borderId="8" xfId="0" applyFont="1" applyBorder="1" applyAlignment="1">
      <alignment horizontal="left"/>
    </xf>
    <xf numFmtId="173" fontId="13" fillId="0" borderId="0" xfId="0" applyNumberFormat="1" applyFont="1" applyBorder="1" applyAlignment="1">
      <alignment/>
    </xf>
    <xf numFmtId="173" fontId="13" fillId="0" borderId="14" xfId="0" applyNumberFormat="1" applyFont="1" applyBorder="1" applyAlignment="1">
      <alignment/>
    </xf>
    <xf numFmtId="173" fontId="13" fillId="0" borderId="8" xfId="0" applyNumberFormat="1" applyFont="1" applyBorder="1" applyAlignment="1">
      <alignment/>
    </xf>
    <xf numFmtId="0" fontId="13" fillId="0" borderId="5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3" fontId="0" fillId="0" borderId="12" xfId="0" applyNumberFormat="1" applyBorder="1" applyAlignment="1" applyProtection="1">
      <alignment/>
      <protection locked="0"/>
    </xf>
    <xf numFmtId="173" fontId="0" fillId="0" borderId="14" xfId="0" applyNumberFormat="1" applyBorder="1" applyAlignment="1" applyProtection="1">
      <alignment/>
      <protection locked="0"/>
    </xf>
    <xf numFmtId="173" fontId="0" fillId="0" borderId="0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applyProtection="1">
      <alignment/>
      <protection locked="0"/>
    </xf>
    <xf numFmtId="173" fontId="0" fillId="0" borderId="13" xfId="0" applyNumberFormat="1" applyBorder="1" applyAlignment="1" applyProtection="1">
      <alignment/>
      <protection locked="0"/>
    </xf>
    <xf numFmtId="173" fontId="0" fillId="0" borderId="1" xfId="0" applyNumberFormat="1" applyBorder="1" applyAlignment="1" applyProtection="1">
      <alignment/>
      <protection locked="0"/>
    </xf>
    <xf numFmtId="173" fontId="0" fillId="0" borderId="5" xfId="0" applyNumberFormat="1" applyBorder="1" applyAlignment="1" applyProtection="1">
      <alignment/>
      <protection locked="0"/>
    </xf>
    <xf numFmtId="173" fontId="0" fillId="0" borderId="6" xfId="0" applyNumberFormat="1" applyBorder="1" applyAlignment="1" applyProtection="1">
      <alignment/>
      <protection locked="0"/>
    </xf>
    <xf numFmtId="173" fontId="0" fillId="0" borderId="9" xfId="0" applyNumberFormat="1" applyBorder="1" applyAlignment="1" applyProtection="1">
      <alignment/>
      <protection locked="0"/>
    </xf>
    <xf numFmtId="173" fontId="0" fillId="0" borderId="8" xfId="0" applyNumberFormat="1" applyBorder="1" applyAlignment="1" applyProtection="1">
      <alignment/>
      <protection locked="0"/>
    </xf>
    <xf numFmtId="173" fontId="0" fillId="0" borderId="10" xfId="0" applyNumberForma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7" xfId="0" applyBorder="1" applyAlignment="1" applyProtection="1">
      <alignment horizontal="centerContinuous"/>
      <protection/>
    </xf>
    <xf numFmtId="0" fontId="0" fillId="0" borderId="9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3" fontId="0" fillId="0" borderId="16" xfId="0" applyNumberForma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5" fontId="7" fillId="0" borderId="1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5" fontId="0" fillId="0" borderId="0" xfId="0" applyNumberFormat="1" applyAlignment="1">
      <alignment/>
    </xf>
    <xf numFmtId="15" fontId="0" fillId="0" borderId="5" xfId="0" applyNumberFormat="1" applyBorder="1" applyAlignment="1" applyProtection="1" quotePrefix="1">
      <alignment horizontal="centerContinuous"/>
      <protection locked="0"/>
    </xf>
    <xf numFmtId="15" fontId="0" fillId="0" borderId="8" xfId="0" applyNumberFormat="1" applyBorder="1" applyAlignment="1" applyProtection="1" quotePrefix="1">
      <alignment horizontal="centerContinuous"/>
      <protection locked="0"/>
    </xf>
    <xf numFmtId="15" fontId="0" fillId="0" borderId="10" xfId="0" applyNumberFormat="1" applyBorder="1" applyAlignment="1" applyProtection="1">
      <alignment horizontal="centerContinuous"/>
      <protection locked="0"/>
    </xf>
    <xf numFmtId="15" fontId="0" fillId="0" borderId="0" xfId="0" applyNumberFormat="1" applyAlignment="1">
      <alignment horizontal="center"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185" fontId="5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/>
    </xf>
    <xf numFmtId="15" fontId="0" fillId="0" borderId="0" xfId="0" applyNumberFormat="1" applyAlignment="1">
      <alignment horizontal="left"/>
    </xf>
    <xf numFmtId="185" fontId="0" fillId="2" borderId="28" xfId="0" applyNumberFormat="1" applyFill="1" applyBorder="1" applyAlignment="1">
      <alignment/>
    </xf>
    <xf numFmtId="185" fontId="0" fillId="2" borderId="28" xfId="0" applyNumberFormat="1" applyFill="1" applyBorder="1" applyAlignment="1">
      <alignment horizontal="center"/>
    </xf>
    <xf numFmtId="185" fontId="1" fillId="0" borderId="29" xfId="0" applyNumberFormat="1" applyFont="1" applyBorder="1" applyAlignment="1">
      <alignment/>
    </xf>
    <xf numFmtId="15" fontId="17" fillId="0" borderId="1" xfId="0" applyNumberFormat="1" applyFont="1" applyBorder="1" applyAlignment="1" applyProtection="1">
      <alignment horizontal="left"/>
      <protection locked="0"/>
    </xf>
    <xf numFmtId="185" fontId="0" fillId="0" borderId="15" xfId="0" applyNumberFormat="1" applyFont="1" applyBorder="1" applyAlignment="1" applyProtection="1" quotePrefix="1">
      <alignment horizontal="center"/>
      <protection locked="0"/>
    </xf>
    <xf numFmtId="4" fontId="0" fillId="0" borderId="0" xfId="0" applyNumberFormat="1" applyAlignment="1">
      <alignment/>
    </xf>
    <xf numFmtId="0" fontId="0" fillId="0" borderId="10" xfId="0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85" fontId="0" fillId="0" borderId="26" xfId="0" applyNumberFormat="1" applyBorder="1" applyAlignment="1">
      <alignment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2" xfId="0" applyFont="1" applyBorder="1" applyAlignment="1" quotePrefix="1">
      <alignment horizontal="left"/>
    </xf>
    <xf numFmtId="0" fontId="4" fillId="0" borderId="5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Border="1" applyAlignment="1" applyProtection="1" quotePrefix="1">
      <alignment horizontal="left"/>
      <protection/>
    </xf>
    <xf numFmtId="0" fontId="11" fillId="0" borderId="0" xfId="0" applyFont="1" applyAlignment="1" quotePrefix="1">
      <alignment horizontal="left"/>
    </xf>
    <xf numFmtId="0" fontId="6" fillId="0" borderId="3" xfId="0" applyFont="1" applyBorder="1" applyAlignment="1" quotePrefix="1">
      <alignment horizontal="right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6" fillId="0" borderId="12" xfId="0" applyFont="1" applyBorder="1" applyAlignment="1" quotePrefix="1">
      <alignment horizontal="center"/>
    </xf>
    <xf numFmtId="0" fontId="6" fillId="0" borderId="7" xfId="0" applyFont="1" applyBorder="1" applyAlignment="1" quotePrefix="1">
      <alignment horizontal="center"/>
    </xf>
    <xf numFmtId="0" fontId="7" fillId="0" borderId="13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8" fillId="0" borderId="6" xfId="0" applyFont="1" applyBorder="1" applyAlignment="1" quotePrefix="1">
      <alignment horizontal="left"/>
    </xf>
    <xf numFmtId="0" fontId="8" fillId="0" borderId="6" xfId="0" applyFont="1" applyBorder="1" applyAlignment="1" quotePrefix="1">
      <alignment horizontal="center"/>
    </xf>
    <xf numFmtId="185" fontId="7" fillId="0" borderId="10" xfId="0" applyNumberFormat="1" applyFont="1" applyBorder="1" applyAlignment="1" quotePrefix="1">
      <alignment horizontal="center"/>
    </xf>
    <xf numFmtId="0" fontId="1" fillId="0" borderId="2" xfId="0" applyFont="1" applyBorder="1" applyAlignment="1" quotePrefix="1">
      <alignment horizontal="left"/>
    </xf>
    <xf numFmtId="0" fontId="1" fillId="0" borderId="15" xfId="0" applyFont="1" applyBorder="1" applyAlignment="1" quotePrefix="1">
      <alignment horizontal="left"/>
    </xf>
    <xf numFmtId="185" fontId="11" fillId="0" borderId="0" xfId="0" applyNumberFormat="1" applyFont="1" applyAlignment="1">
      <alignment horizontal="center"/>
    </xf>
    <xf numFmtId="185" fontId="6" fillId="0" borderId="12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185" fontId="8" fillId="0" borderId="15" xfId="0" applyNumberFormat="1" applyFont="1" applyBorder="1" applyAlignment="1" quotePrefix="1">
      <alignment horizontal="center"/>
    </xf>
    <xf numFmtId="185" fontId="8" fillId="0" borderId="4" xfId="0" applyNumberFormat="1" applyFont="1" applyBorder="1" applyAlignment="1" quotePrefix="1">
      <alignment horizontal="center"/>
    </xf>
    <xf numFmtId="0" fontId="1" fillId="0" borderId="2" xfId="0" applyFont="1" applyFill="1" applyBorder="1" applyAlignment="1">
      <alignment/>
    </xf>
    <xf numFmtId="0" fontId="0" fillId="0" borderId="8" xfId="0" applyBorder="1" applyAlignment="1" applyProtection="1">
      <alignment horizontal="left"/>
      <protection locked="0"/>
    </xf>
    <xf numFmtId="0" fontId="0" fillId="0" borderId="6" xfId="0" applyBorder="1" applyAlignment="1" quotePrefix="1">
      <alignment horizontal="left"/>
    </xf>
    <xf numFmtId="3" fontId="0" fillId="0" borderId="18" xfId="0" applyNumberFormat="1" applyBorder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173" fontId="0" fillId="0" borderId="15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0" fontId="13" fillId="0" borderId="0" xfId="0" applyFont="1" applyAlignment="1">
      <alignment horizontal="right"/>
    </xf>
    <xf numFmtId="173" fontId="13" fillId="0" borderId="29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Alignment="1">
      <alignment horizontal="center"/>
    </xf>
    <xf numFmtId="185" fontId="0" fillId="0" borderId="1" xfId="18" applyNumberFormat="1" applyBorder="1" applyAlignment="1" applyProtection="1">
      <alignment horizontal="right"/>
      <protection locked="0"/>
    </xf>
    <xf numFmtId="3" fontId="0" fillId="0" borderId="15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73" fontId="18" fillId="0" borderId="30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173" fontId="0" fillId="0" borderId="0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173" fontId="14" fillId="0" borderId="14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14" fontId="0" fillId="3" borderId="15" xfId="0" applyNumberFormat="1" applyFill="1" applyBorder="1" applyAlignment="1" applyProtection="1">
      <alignment/>
      <protection locked="0"/>
    </xf>
    <xf numFmtId="173" fontId="0" fillId="3" borderId="14" xfId="0" applyNumberFormat="1" applyFont="1" applyFill="1" applyBorder="1" applyAlignment="1" applyProtection="1">
      <alignment/>
      <protection locked="0"/>
    </xf>
    <xf numFmtId="173" fontId="0" fillId="3" borderId="12" xfId="0" applyNumberFormat="1" applyFill="1" applyBorder="1" applyAlignment="1" applyProtection="1">
      <alignment/>
      <protection locked="0"/>
    </xf>
    <xf numFmtId="173" fontId="0" fillId="3" borderId="14" xfId="0" applyNumberFormat="1" applyFill="1" applyBorder="1" applyAlignment="1" applyProtection="1">
      <alignment/>
      <protection locked="0"/>
    </xf>
    <xf numFmtId="173" fontId="0" fillId="3" borderId="14" xfId="0" applyNumberFormat="1" applyFill="1" applyBorder="1" applyAlignment="1" applyProtection="1" quotePrefix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173" fontId="16" fillId="3" borderId="14" xfId="0" applyNumberFormat="1" applyFont="1" applyFill="1" applyBorder="1" applyAlignment="1" applyProtection="1">
      <alignment/>
      <protection locked="0"/>
    </xf>
    <xf numFmtId="173" fontId="16" fillId="3" borderId="9" xfId="0" applyNumberFormat="1" applyFont="1" applyFill="1" applyBorder="1" applyAlignment="1" applyProtection="1">
      <alignment/>
      <protection/>
    </xf>
    <xf numFmtId="173" fontId="0" fillId="3" borderId="9" xfId="0" applyNumberFormat="1" applyFill="1" applyBorder="1" applyAlignment="1" applyProtection="1">
      <alignment/>
      <protection locked="0"/>
    </xf>
    <xf numFmtId="173" fontId="0" fillId="3" borderId="0" xfId="0" applyNumberFormat="1" applyFill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173" fontId="0" fillId="3" borderId="0" xfId="0" applyNumberFormat="1" applyFill="1" applyBorder="1" applyAlignment="1">
      <alignment/>
    </xf>
    <xf numFmtId="173" fontId="0" fillId="3" borderId="14" xfId="0" applyNumberFormat="1" applyFill="1" applyBorder="1" applyAlignment="1" applyProtection="1">
      <alignment horizontal="center"/>
      <protection locked="0"/>
    </xf>
    <xf numFmtId="173" fontId="0" fillId="3" borderId="7" xfId="0" applyNumberFormat="1" applyFill="1" applyBorder="1" applyAlignment="1">
      <alignment/>
    </xf>
    <xf numFmtId="173" fontId="0" fillId="3" borderId="11" xfId="0" applyNumberFormat="1" applyFill="1" applyBorder="1" applyAlignment="1" applyProtection="1">
      <alignment/>
      <protection locked="0"/>
    </xf>
    <xf numFmtId="173" fontId="0" fillId="3" borderId="13" xfId="0" applyNumberFormat="1" applyFill="1" applyBorder="1" applyAlignment="1" applyProtection="1">
      <alignment/>
      <protection locked="0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9" xfId="0" applyFill="1" applyBorder="1" applyAlignment="1">
      <alignment/>
    </xf>
    <xf numFmtId="173" fontId="0" fillId="3" borderId="9" xfId="0" applyNumberFormat="1" applyFill="1" applyBorder="1" applyAlignment="1">
      <alignment/>
    </xf>
    <xf numFmtId="14" fontId="0" fillId="3" borderId="0" xfId="0" applyNumberFormat="1" applyFill="1" applyAlignment="1">
      <alignment horizontal="center"/>
    </xf>
    <xf numFmtId="173" fontId="0" fillId="3" borderId="8" xfId="0" applyNumberFormat="1" applyFill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0" fillId="3" borderId="9" xfId="0" applyFill="1" applyBorder="1" applyAlignment="1" applyProtection="1">
      <alignment horizontal="center"/>
      <protection locked="0"/>
    </xf>
    <xf numFmtId="0" fontId="14" fillId="0" borderId="7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8" xfId="0" applyFont="1" applyBorder="1" applyAlignment="1">
      <alignment/>
    </xf>
    <xf numFmtId="0" fontId="0" fillId="3" borderId="8" xfId="0" applyFill="1" applyBorder="1" applyAlignment="1">
      <alignment/>
    </xf>
    <xf numFmtId="0" fontId="0" fillId="3" borderId="14" xfId="0" applyFill="1" applyBorder="1" applyAlignment="1">
      <alignment/>
    </xf>
    <xf numFmtId="3" fontId="9" fillId="0" borderId="2" xfId="0" applyNumberFormat="1" applyFont="1" applyBorder="1" applyAlignment="1" applyProtection="1">
      <alignment horizontal="center"/>
      <protection locked="0"/>
    </xf>
    <xf numFmtId="3" fontId="7" fillId="0" borderId="2" xfId="0" applyNumberFormat="1" applyFont="1" applyBorder="1" applyAlignment="1" applyProtection="1">
      <alignment horizontal="center"/>
      <protection locked="0"/>
    </xf>
    <xf numFmtId="185" fontId="9" fillId="0" borderId="2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/>
    </xf>
    <xf numFmtId="173" fontId="0" fillId="0" borderId="0" xfId="0" applyNumberFormat="1" applyBorder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173" fontId="14" fillId="0" borderId="0" xfId="0" applyNumberFormat="1" applyFont="1" applyBorder="1" applyAlignment="1">
      <alignment/>
    </xf>
    <xf numFmtId="173" fontId="0" fillId="3" borderId="0" xfId="0" applyNumberFormat="1" applyFill="1" applyBorder="1" applyAlignment="1" applyProtection="1">
      <alignment/>
      <protection locked="0"/>
    </xf>
    <xf numFmtId="173" fontId="0" fillId="3" borderId="0" xfId="0" applyNumberFormat="1" applyFill="1" applyBorder="1" applyAlignment="1" applyProtection="1" quotePrefix="1">
      <alignment/>
      <protection locked="0"/>
    </xf>
    <xf numFmtId="0" fontId="0" fillId="3" borderId="14" xfId="0" applyFill="1" applyBorder="1" applyAlignment="1" applyProtection="1">
      <alignment horizontal="center"/>
      <protection locked="0"/>
    </xf>
    <xf numFmtId="173" fontId="0" fillId="0" borderId="5" xfId="0" applyNumberFormat="1" applyBorder="1" applyAlignment="1">
      <alignment/>
    </xf>
    <xf numFmtId="173" fontId="0" fillId="3" borderId="14" xfId="0" applyNumberFormat="1" applyFill="1" applyBorder="1" applyAlignment="1" applyProtection="1">
      <alignment horizontal="right"/>
      <protection locked="0"/>
    </xf>
    <xf numFmtId="3" fontId="7" fillId="0" borderId="2" xfId="0" applyNumberFormat="1" applyFont="1" applyBorder="1" applyAlignment="1" applyProtection="1">
      <alignment/>
      <protection locked="0"/>
    </xf>
    <xf numFmtId="173" fontId="19" fillId="3" borderId="14" xfId="0" applyNumberFormat="1" applyFont="1" applyFill="1" applyBorder="1" applyAlignment="1" applyProtection="1" quotePrefix="1">
      <alignment/>
      <protection/>
    </xf>
    <xf numFmtId="2" fontId="0" fillId="3" borderId="0" xfId="0" applyNumberFormat="1" applyFill="1" applyAlignment="1">
      <alignment horizontal="center"/>
    </xf>
    <xf numFmtId="2" fontId="0" fillId="0" borderId="5" xfId="0" applyNumberFormat="1" applyBorder="1" applyAlignment="1" applyProtection="1">
      <alignment horizontal="centerContinuous"/>
      <protection locked="0"/>
    </xf>
    <xf numFmtId="2" fontId="0" fillId="0" borderId="7" xfId="0" applyNumberFormat="1" applyBorder="1" applyAlignment="1" applyProtection="1">
      <alignment horizontal="centerContinuous"/>
      <protection/>
    </xf>
    <xf numFmtId="2" fontId="0" fillId="0" borderId="8" xfId="0" applyNumberFormat="1" applyBorder="1" applyAlignment="1" applyProtection="1">
      <alignment horizontal="centerContinuous"/>
      <protection locked="0"/>
    </xf>
    <xf numFmtId="2" fontId="0" fillId="0" borderId="9" xfId="0" applyNumberFormat="1" applyBorder="1" applyAlignment="1" applyProtection="1">
      <alignment horizontal="centerContinuous"/>
      <protection/>
    </xf>
    <xf numFmtId="2" fontId="0" fillId="0" borderId="10" xfId="0" applyNumberFormat="1" applyBorder="1" applyAlignment="1" applyProtection="1">
      <alignment horizontal="centerContinuous"/>
      <protection locked="0"/>
    </xf>
    <xf numFmtId="2" fontId="0" fillId="0" borderId="11" xfId="0" applyNumberFormat="1" applyBorder="1" applyAlignment="1" applyProtection="1">
      <alignment horizontal="centerContinuous"/>
      <protection/>
    </xf>
    <xf numFmtId="0" fontId="0" fillId="3" borderId="9" xfId="0" applyFill="1" applyBorder="1" applyAlignment="1">
      <alignment horizontal="right"/>
    </xf>
    <xf numFmtId="173" fontId="0" fillId="0" borderId="9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53"/>
  <sheetViews>
    <sheetView showZeros="0" workbookViewId="0" topLeftCell="B51">
      <selection activeCell="G14" sqref="G14:H14"/>
    </sheetView>
  </sheetViews>
  <sheetFormatPr defaultColWidth="9.140625" defaultRowHeight="12.75"/>
  <cols>
    <col min="1" max="1" width="3.28125" style="0" hidden="1" customWidth="1"/>
    <col min="2" max="2" width="3.28125" style="0" customWidth="1"/>
    <col min="3" max="3" width="11.421875" style="0" customWidth="1"/>
    <col min="5" max="5" width="15.421875" style="0" customWidth="1"/>
    <col min="6" max="6" width="2.421875" style="0" customWidth="1"/>
    <col min="7" max="7" width="13.421875" style="0" customWidth="1"/>
    <col min="8" max="8" width="13.00390625" style="0" customWidth="1"/>
    <col min="9" max="9" width="12.7109375" style="0" customWidth="1"/>
    <col min="10" max="10" width="8.140625" style="0" customWidth="1"/>
    <col min="11" max="11" width="8.28125" style="0" customWidth="1"/>
    <col min="12" max="16384" width="11.421875" style="0" customWidth="1"/>
  </cols>
  <sheetData>
    <row r="3" ht="12.75">
      <c r="J3" s="1"/>
    </row>
    <row r="4" ht="12.75">
      <c r="J4" s="1"/>
    </row>
    <row r="5" ht="12.75">
      <c r="J5" s="1"/>
    </row>
    <row r="6" ht="12.75">
      <c r="J6" s="1"/>
    </row>
    <row r="7" ht="12.75">
      <c r="J7" s="1"/>
    </row>
    <row r="8" ht="12.75">
      <c r="J8" s="1"/>
    </row>
    <row r="10" ht="12.75">
      <c r="J10" s="1"/>
    </row>
    <row r="12" spans="3:10" ht="15.75">
      <c r="C12" s="156"/>
      <c r="E12" s="286" t="s">
        <v>0</v>
      </c>
      <c r="F12" s="14"/>
      <c r="G12" s="14"/>
      <c r="H12" s="149"/>
      <c r="I12" s="285">
        <f>Feuil7!A2</f>
        <v>0</v>
      </c>
      <c r="J12" s="156"/>
    </row>
    <row r="13" spans="3:10" ht="15">
      <c r="C13" s="150"/>
      <c r="D13" s="150"/>
      <c r="E13" s="150"/>
      <c r="F13" s="150"/>
      <c r="G13" s="150"/>
      <c r="H13" s="150"/>
      <c r="I13" s="150"/>
      <c r="J13" s="150"/>
    </row>
    <row r="14" spans="3:10" ht="18">
      <c r="C14" s="287" t="s">
        <v>1</v>
      </c>
      <c r="D14" s="151"/>
      <c r="E14" s="268"/>
      <c r="F14" s="151"/>
      <c r="G14" s="161" t="str">
        <f>Feuil7!AF2</f>
        <v>SORMOVSKIY 3057</v>
      </c>
      <c r="H14" s="392"/>
      <c r="I14" s="152"/>
      <c r="J14" s="153"/>
    </row>
    <row r="15" spans="3:10" ht="15">
      <c r="C15" s="288" t="s">
        <v>2</v>
      </c>
      <c r="D15" s="154"/>
      <c r="E15" s="269"/>
      <c r="F15" s="154"/>
      <c r="G15" s="155" t="str">
        <f>Feuil7!AF27</f>
        <v>AMMONNITRATE</v>
      </c>
      <c r="H15" s="156"/>
      <c r="I15" s="156"/>
      <c r="J15" s="157"/>
    </row>
    <row r="16" spans="3:10" ht="15">
      <c r="C16" s="288" t="s">
        <v>3</v>
      </c>
      <c r="D16" s="154"/>
      <c r="E16" s="269"/>
      <c r="F16" s="154"/>
      <c r="G16" s="155" t="str">
        <f>Feuil7!AF26</f>
        <v>LOMONOSOV</v>
      </c>
      <c r="H16" s="156"/>
      <c r="I16" s="156"/>
      <c r="J16" s="157"/>
    </row>
    <row r="17" spans="3:10" ht="15">
      <c r="C17" s="288" t="s">
        <v>4</v>
      </c>
      <c r="D17" s="154"/>
      <c r="E17" s="269"/>
      <c r="F17" s="154"/>
      <c r="G17" s="155" t="str">
        <f>Feuil7!AH26</f>
        <v>Nantes</v>
      </c>
      <c r="H17" s="156"/>
      <c r="I17" s="156"/>
      <c r="J17" s="157"/>
    </row>
    <row r="18" spans="3:10" ht="15">
      <c r="C18" s="288" t="s">
        <v>6</v>
      </c>
      <c r="D18" s="154"/>
      <c r="E18" s="269"/>
      <c r="F18" s="154"/>
      <c r="G18" s="155" t="s">
        <v>5</v>
      </c>
      <c r="H18" s="156"/>
      <c r="I18" s="156"/>
      <c r="J18" s="157"/>
    </row>
    <row r="19" spans="3:10" ht="15">
      <c r="C19" s="289" t="s">
        <v>7</v>
      </c>
      <c r="D19" s="158"/>
      <c r="E19" s="270"/>
      <c r="F19" s="158"/>
      <c r="G19" s="278">
        <f>Feuil2!C38</f>
        <v>36832</v>
      </c>
      <c r="H19" s="159"/>
      <c r="I19" s="159"/>
      <c r="J19" s="160"/>
    </row>
    <row r="21" spans="3:10" ht="12.75">
      <c r="C21" t="s">
        <v>8</v>
      </c>
      <c r="E21" s="64" t="s">
        <v>339</v>
      </c>
      <c r="F21" s="93"/>
      <c r="G21" s="93"/>
      <c r="H21" s="93"/>
      <c r="I21" s="93"/>
      <c r="J21" s="93"/>
    </row>
    <row r="22" spans="5:10" ht="12.75">
      <c r="E22" s="64"/>
      <c r="F22" s="93"/>
      <c r="G22" s="93"/>
      <c r="H22" s="93"/>
      <c r="I22" s="93"/>
      <c r="J22" s="93"/>
    </row>
    <row r="23" spans="3:10" ht="12.75">
      <c r="C23" t="s">
        <v>9</v>
      </c>
      <c r="D23" s="93"/>
      <c r="E23" s="64" t="s">
        <v>340</v>
      </c>
      <c r="F23" s="93"/>
      <c r="G23" s="93" t="s">
        <v>341</v>
      </c>
      <c r="H23" s="93"/>
      <c r="I23" s="93"/>
      <c r="J23" s="93"/>
    </row>
    <row r="24" spans="3:9" ht="12.75">
      <c r="C24" t="s">
        <v>11</v>
      </c>
      <c r="H24" s="164"/>
      <c r="I24" s="262"/>
    </row>
    <row r="25" spans="3:10" ht="12.75">
      <c r="C25" s="64" t="s">
        <v>346</v>
      </c>
      <c r="D25" s="93"/>
      <c r="E25" s="93"/>
      <c r="F25" s="93"/>
      <c r="G25" s="93"/>
      <c r="H25" s="93"/>
      <c r="I25" s="93"/>
      <c r="J25" s="93"/>
    </row>
    <row r="27" spans="3:8" ht="12.75">
      <c r="C27" t="s">
        <v>12</v>
      </c>
      <c r="G27" s="267">
        <f>Feuil2!C37</f>
        <v>36829</v>
      </c>
      <c r="H27" s="18" t="str">
        <f>Feuil2!E37</f>
        <v>05h00</v>
      </c>
    </row>
    <row r="28" spans="3:8" ht="12.75">
      <c r="C28" t="s">
        <v>13</v>
      </c>
      <c r="G28" s="267">
        <f>Feuil2!C38</f>
        <v>36832</v>
      </c>
      <c r="H28" s="18" t="str">
        <f>Feuil2!E38</f>
        <v>10h00</v>
      </c>
    </row>
    <row r="29" ht="12.75">
      <c r="G29" s="18"/>
    </row>
    <row r="31" spans="3:8" ht="12.75">
      <c r="C31" t="s">
        <v>14</v>
      </c>
      <c r="H31" s="93"/>
    </row>
    <row r="33" spans="5:7" ht="15.75">
      <c r="E33" s="271" t="e">
        <f>Feuil6!$E44</f>
        <v>#VALUE!</v>
      </c>
      <c r="F33" s="272"/>
      <c r="G33" s="273" t="s">
        <v>15</v>
      </c>
    </row>
    <row r="34" spans="5:8" ht="12.75">
      <c r="E34" s="73"/>
      <c r="H34" s="263"/>
    </row>
    <row r="35" spans="3:8" ht="12.75">
      <c r="C35" s="163" t="s">
        <v>16</v>
      </c>
      <c r="E35" s="73">
        <f>Feuil6!E46</f>
        <v>3144.039</v>
      </c>
      <c r="G35" t="s">
        <v>15</v>
      </c>
      <c r="H35" s="263"/>
    </row>
    <row r="36" spans="3:8" ht="12.75">
      <c r="C36" t="s">
        <v>17</v>
      </c>
      <c r="E36" s="73" t="e">
        <f>Feuil6!E48</f>
        <v>#VALUE!</v>
      </c>
      <c r="G36" t="s">
        <v>15</v>
      </c>
      <c r="H36" s="263"/>
    </row>
    <row r="37" spans="3:7" ht="12.75">
      <c r="C37" s="163" t="s">
        <v>18</v>
      </c>
      <c r="E37" s="280" t="e">
        <f>Feuil6!E50</f>
        <v>#VALUE!</v>
      </c>
      <c r="G37" t="s">
        <v>19</v>
      </c>
    </row>
    <row r="38" ht="12.75">
      <c r="E38" s="280"/>
    </row>
    <row r="39" ht="12.75">
      <c r="C39" t="s">
        <v>20</v>
      </c>
    </row>
    <row r="40" ht="12.75">
      <c r="C40" s="163" t="s">
        <v>21</v>
      </c>
    </row>
    <row r="41" ht="12.75">
      <c r="C41" s="163"/>
    </row>
    <row r="42" ht="12.75">
      <c r="C42" t="s">
        <v>22</v>
      </c>
    </row>
    <row r="43" ht="12.75">
      <c r="C43" s="163" t="s">
        <v>23</v>
      </c>
    </row>
    <row r="44" ht="12.75">
      <c r="C44" s="163"/>
    </row>
    <row r="45" ht="12.75">
      <c r="C45" s="163" t="s">
        <v>24</v>
      </c>
    </row>
    <row r="46" ht="12.75">
      <c r="C46" s="59"/>
    </row>
    <row r="47" ht="12.75">
      <c r="C47" t="s">
        <v>25</v>
      </c>
    </row>
    <row r="49" ht="12.75">
      <c r="C49" t="s">
        <v>26</v>
      </c>
    </row>
    <row r="53" ht="12.75">
      <c r="C53" t="s">
        <v>10</v>
      </c>
    </row>
  </sheetData>
  <printOptions/>
  <pageMargins left="0.7874015748031497" right="0.3937007874015748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showZeros="0" workbookViewId="0" topLeftCell="A50">
      <selection activeCell="B29" sqref="B29"/>
    </sheetView>
  </sheetViews>
  <sheetFormatPr defaultColWidth="10.7109375" defaultRowHeight="12.75"/>
  <cols>
    <col min="1" max="3" width="10.7109375" style="0" customWidth="1"/>
    <col min="4" max="4" width="12.140625" style="0" customWidth="1"/>
    <col min="5" max="7" width="10.7109375" style="0" customWidth="1"/>
    <col min="8" max="16384" width="11.421875" style="0" customWidth="1"/>
  </cols>
  <sheetData>
    <row r="1" ht="12.75">
      <c r="A1" s="59" t="s">
        <v>27</v>
      </c>
    </row>
    <row r="3" spans="2:6" ht="18">
      <c r="B3" s="6"/>
      <c r="C3" s="6"/>
      <c r="D3" s="139"/>
      <c r="E3" s="6"/>
      <c r="F3" s="6"/>
    </row>
    <row r="5" ht="12.75">
      <c r="A5" s="141" t="s">
        <v>28</v>
      </c>
    </row>
    <row r="7" spans="1:8" ht="12.75">
      <c r="A7" s="7" t="s">
        <v>29</v>
      </c>
      <c r="B7" s="94"/>
      <c r="C7" s="107" t="str">
        <f>Feuil7!AF2</f>
        <v>SORMOVSKIY 3057</v>
      </c>
      <c r="D7" s="113"/>
      <c r="E7" s="108" t="s">
        <v>30</v>
      </c>
      <c r="F7" s="109"/>
      <c r="G7" s="107">
        <f>Feuil7!AH3</f>
        <v>112.5</v>
      </c>
      <c r="H7" s="115"/>
    </row>
    <row r="8" spans="1:8" ht="12.75">
      <c r="A8" s="10" t="s">
        <v>31</v>
      </c>
      <c r="B8" s="96"/>
      <c r="C8" s="166" t="str">
        <f>Feuil7!AF3</f>
        <v>Russia</v>
      </c>
      <c r="D8" s="114"/>
      <c r="E8" s="79" t="s">
        <v>32</v>
      </c>
      <c r="F8" s="77"/>
      <c r="G8" s="110">
        <f>Feuil7!AH4</f>
        <v>4.253</v>
      </c>
      <c r="H8" s="116"/>
    </row>
    <row r="9" spans="1:8" ht="12.75">
      <c r="A9" s="10" t="s">
        <v>33</v>
      </c>
      <c r="B9" s="96"/>
      <c r="C9" s="166" t="str">
        <f>Feuil7!AF4</f>
        <v>UCVL</v>
      </c>
      <c r="D9" s="114"/>
      <c r="E9" s="79" t="s">
        <v>34</v>
      </c>
      <c r="F9" s="77"/>
      <c r="G9" s="110">
        <f>Feuil7!AH5</f>
        <v>1.763</v>
      </c>
      <c r="H9" s="116"/>
    </row>
    <row r="10" spans="1:8" ht="12.75">
      <c r="A10" s="10" t="s">
        <v>35</v>
      </c>
      <c r="B10" s="96"/>
      <c r="C10" s="166" t="str">
        <f>Feuil7!AF5</f>
        <v>Saint-Petersburg</v>
      </c>
      <c r="D10" s="114"/>
      <c r="E10" s="79" t="s">
        <v>36</v>
      </c>
      <c r="F10" s="77"/>
      <c r="G10" s="110">
        <f>Feuil7!AH6</f>
        <v>119.2</v>
      </c>
      <c r="H10" s="116"/>
    </row>
    <row r="11" spans="1:8" ht="12.75">
      <c r="A11" s="10" t="s">
        <v>37</v>
      </c>
      <c r="B11" s="96"/>
      <c r="C11" s="251">
        <f>Feuil7!AF6</f>
        <v>1986</v>
      </c>
      <c r="D11" s="114"/>
      <c r="E11" s="79" t="s">
        <v>38</v>
      </c>
      <c r="F11" s="77"/>
      <c r="G11" s="110">
        <f>Feuil7!AH7</f>
        <v>13.2</v>
      </c>
      <c r="H11" s="116"/>
    </row>
    <row r="12" spans="1:8" ht="12.75">
      <c r="A12" s="10" t="s">
        <v>39</v>
      </c>
      <c r="B12" s="96"/>
      <c r="C12" s="166">
        <f>Feuil7!AF7</f>
        <v>3041</v>
      </c>
      <c r="D12" s="114"/>
      <c r="E12" s="79" t="s">
        <v>40</v>
      </c>
      <c r="F12" s="77"/>
      <c r="G12" s="110">
        <f>Feuil7!AH8</f>
        <v>6</v>
      </c>
      <c r="H12" s="116"/>
    </row>
    <row r="13" spans="1:8" ht="12.75">
      <c r="A13" s="10" t="s">
        <v>41</v>
      </c>
      <c r="B13" s="96"/>
      <c r="C13" s="166">
        <f>Feuil7!AF8</f>
        <v>1204</v>
      </c>
      <c r="D13" s="114"/>
      <c r="E13" s="79" t="s">
        <v>42</v>
      </c>
      <c r="F13" s="77"/>
      <c r="G13" s="110">
        <f>Feuil7!AH9</f>
        <v>1742</v>
      </c>
      <c r="H13" s="116"/>
    </row>
    <row r="14" spans="1:8" ht="12.75">
      <c r="A14" s="10" t="s">
        <v>43</v>
      </c>
      <c r="B14" s="96"/>
      <c r="C14" s="166">
        <f>Feuil7!AF9</f>
        <v>3853</v>
      </c>
      <c r="D14" s="114"/>
      <c r="E14" s="79" t="s">
        <v>44</v>
      </c>
      <c r="F14" s="77"/>
      <c r="G14" s="110">
        <f>Feuil7!AH10</f>
        <v>80</v>
      </c>
      <c r="H14" s="116"/>
    </row>
    <row r="15" spans="1:8" ht="12.75">
      <c r="A15" s="10" t="s">
        <v>45</v>
      </c>
      <c r="B15" s="96"/>
      <c r="C15" s="251">
        <f>Feuil7!AF10</f>
        <v>4</v>
      </c>
      <c r="D15" s="114"/>
      <c r="E15" s="79" t="s">
        <v>350</v>
      </c>
      <c r="F15" s="284"/>
      <c r="G15" s="283">
        <f>Feuil7!AH11</f>
        <v>0</v>
      </c>
      <c r="H15" s="116"/>
    </row>
    <row r="16" spans="1:8" ht="12.75">
      <c r="A16" s="10" t="s">
        <v>46</v>
      </c>
      <c r="B16" s="96"/>
      <c r="C16" s="251" t="str">
        <f>Feuil7!AF11</f>
        <v>J.S. NW Fleet </v>
      </c>
      <c r="D16" s="114"/>
      <c r="E16" s="79" t="s">
        <v>351</v>
      </c>
      <c r="F16" s="284"/>
      <c r="G16" s="313">
        <f>Feuil7!AH12</f>
        <v>0</v>
      </c>
      <c r="H16" s="116"/>
    </row>
    <row r="17" spans="1:8" ht="12.75">
      <c r="A17" s="10" t="s">
        <v>47</v>
      </c>
      <c r="B17" s="96"/>
      <c r="C17" s="251" t="str">
        <f>Feuil7!AF12</f>
        <v>SCAC</v>
      </c>
      <c r="D17" s="114"/>
      <c r="E17" s="118"/>
      <c r="F17" s="119"/>
      <c r="G17" s="110"/>
      <c r="H17" s="116"/>
    </row>
    <row r="18" spans="1:8" ht="12.75">
      <c r="A18" s="10" t="str">
        <f>Feuil7!AE13</f>
        <v>Captain</v>
      </c>
      <c r="B18" s="6"/>
      <c r="C18" s="251" t="str">
        <f>Feuil7!AF13</f>
        <v>Y. SYROV</v>
      </c>
      <c r="D18" s="111"/>
      <c r="E18" s="118"/>
      <c r="F18" s="119"/>
      <c r="G18" s="110"/>
      <c r="H18" s="116"/>
    </row>
    <row r="19" spans="1:8" ht="12.75">
      <c r="A19" s="12"/>
      <c r="B19" s="98"/>
      <c r="C19" s="312">
        <f>Feuil7!AF14</f>
        <v>0</v>
      </c>
      <c r="D19" s="112"/>
      <c r="E19" s="120"/>
      <c r="F19" s="121"/>
      <c r="G19" s="138"/>
      <c r="H19" s="117"/>
    </row>
    <row r="20" spans="2:8" ht="12.75">
      <c r="B20" s="83"/>
      <c r="C20" s="83"/>
      <c r="D20" s="83"/>
      <c r="E20" s="83"/>
      <c r="F20" s="83"/>
      <c r="G20" s="83"/>
      <c r="H20" s="83"/>
    </row>
    <row r="21" spans="2:8" ht="12.75">
      <c r="B21" s="83"/>
      <c r="C21" s="83"/>
      <c r="D21" s="83"/>
      <c r="E21" s="83"/>
      <c r="F21" s="83"/>
      <c r="G21" s="83"/>
      <c r="H21" s="83"/>
    </row>
    <row r="22" spans="1:8" ht="12.75">
      <c r="A22" s="15" t="s">
        <v>48</v>
      </c>
      <c r="B22" s="83"/>
      <c r="C22" s="83"/>
      <c r="D22" s="83"/>
      <c r="E22" s="83"/>
      <c r="F22" s="83"/>
      <c r="G22" s="83"/>
      <c r="H22" s="83"/>
    </row>
    <row r="23" spans="2:8" ht="12.75">
      <c r="B23" s="83"/>
      <c r="C23" s="83"/>
      <c r="D23" s="83"/>
      <c r="E23" s="83"/>
      <c r="F23" s="96"/>
      <c r="G23" s="83"/>
      <c r="H23" s="83"/>
    </row>
    <row r="24" spans="1:8" ht="12.75">
      <c r="A24" s="7" t="s">
        <v>49</v>
      </c>
      <c r="B24" s="94"/>
      <c r="C24" s="100" t="str">
        <f>Feuil1!$G$15</f>
        <v>AMMONNITRATE</v>
      </c>
      <c r="D24" s="94"/>
      <c r="E24" s="101"/>
      <c r="F24" s="95" t="s">
        <v>50</v>
      </c>
      <c r="G24" s="94"/>
      <c r="H24" s="113">
        <f>Feuil7!AF28</f>
        <v>3144.039</v>
      </c>
    </row>
    <row r="25" spans="1:8" ht="12.75">
      <c r="A25" s="10" t="s">
        <v>51</v>
      </c>
      <c r="B25" s="96"/>
      <c r="C25" s="102" t="str">
        <f>Feuil7!AF26</f>
        <v>LOMONOSOV</v>
      </c>
      <c r="D25" s="96"/>
      <c r="E25" s="103"/>
      <c r="F25" s="97" t="s">
        <v>52</v>
      </c>
      <c r="G25" s="96"/>
      <c r="H25" s="78"/>
    </row>
    <row r="26" spans="1:8" ht="12.75">
      <c r="A26" s="12" t="s">
        <v>53</v>
      </c>
      <c r="B26" s="98"/>
      <c r="C26" s="104" t="str">
        <f>Feuil7!AH26</f>
        <v>Nantes</v>
      </c>
      <c r="D26" s="98"/>
      <c r="E26" s="105"/>
      <c r="F26" s="106"/>
      <c r="G26" s="98"/>
      <c r="H26" s="105"/>
    </row>
    <row r="27" spans="1:8" ht="12.75">
      <c r="A27" s="10" t="s">
        <v>54</v>
      </c>
      <c r="B27" s="83"/>
      <c r="C27" s="83"/>
      <c r="D27" s="83"/>
      <c r="E27" s="83"/>
      <c r="F27" s="83"/>
      <c r="G27" s="83" t="s">
        <v>55</v>
      </c>
      <c r="H27" s="78">
        <f>B29+C29+D29+E29+F29+G29+H29</f>
        <v>4107.79</v>
      </c>
    </row>
    <row r="28" spans="1:8" ht="12.75">
      <c r="A28" s="3" t="s">
        <v>56</v>
      </c>
      <c r="B28" s="320">
        <v>1</v>
      </c>
      <c r="C28" s="321">
        <v>2</v>
      </c>
      <c r="D28" s="320">
        <v>3</v>
      </c>
      <c r="E28" s="87">
        <v>4</v>
      </c>
      <c r="F28" s="88">
        <v>5</v>
      </c>
      <c r="G28" s="87">
        <v>6</v>
      </c>
      <c r="H28" s="88">
        <v>7</v>
      </c>
    </row>
    <row r="29" spans="1:8" ht="12.75">
      <c r="A29" s="12" t="s">
        <v>57</v>
      </c>
      <c r="B29" s="167">
        <v>4107.79</v>
      </c>
      <c r="C29" s="319"/>
      <c r="D29" s="167"/>
      <c r="E29" s="99"/>
      <c r="F29" s="167"/>
      <c r="G29" s="99"/>
      <c r="H29" s="167"/>
    </row>
    <row r="30" spans="2:8" ht="12.75">
      <c r="B30" s="83"/>
      <c r="C30" s="83"/>
      <c r="D30" s="83"/>
      <c r="E30" s="83"/>
      <c r="F30" s="83"/>
      <c r="G30" s="83"/>
      <c r="H30" s="83"/>
    </row>
    <row r="31" spans="2:8" ht="12.75">
      <c r="B31" s="83"/>
      <c r="C31" s="83"/>
      <c r="D31" s="83"/>
      <c r="E31" s="83"/>
      <c r="F31" s="83"/>
      <c r="G31" s="83"/>
      <c r="H31" s="83"/>
    </row>
    <row r="32" spans="1:8" ht="12.75">
      <c r="A32" s="15" t="s">
        <v>58</v>
      </c>
      <c r="B32" s="83"/>
      <c r="C32" s="83"/>
      <c r="D32" s="83"/>
      <c r="E32" s="83"/>
      <c r="F32" s="83"/>
      <c r="G32" s="83"/>
      <c r="H32" s="83"/>
    </row>
    <row r="33" spans="3:6" ht="12.75">
      <c r="C33" s="245" t="s">
        <v>361</v>
      </c>
      <c r="D33" s="246"/>
      <c r="E33" s="245" t="s">
        <v>360</v>
      </c>
      <c r="F33" s="247"/>
    </row>
    <row r="34" spans="1:8" ht="12.75">
      <c r="A34" s="7" t="s">
        <v>60</v>
      </c>
      <c r="B34" s="9"/>
      <c r="C34" s="264">
        <f>Feuil7!AF18</f>
        <v>36827</v>
      </c>
      <c r="D34" s="248"/>
      <c r="E34" s="382" t="str">
        <f>Feuil7!AG18</f>
        <v>09h00</v>
      </c>
      <c r="F34" s="383"/>
      <c r="G34" s="311" t="s">
        <v>61</v>
      </c>
      <c r="H34" s="171"/>
    </row>
    <row r="35" spans="1:8" ht="12.75">
      <c r="A35" s="10" t="s">
        <v>62</v>
      </c>
      <c r="B35" s="11"/>
      <c r="C35" s="265">
        <f>Feuil7!AF19</f>
        <v>36827</v>
      </c>
      <c r="D35" s="249"/>
      <c r="E35" s="384" t="str">
        <f>Feuil7!AG19</f>
        <v>19h00</v>
      </c>
      <c r="F35" s="385"/>
      <c r="G35" s="63" t="str">
        <f>Feuil7!AF17</f>
        <v>Tahkoluto</v>
      </c>
      <c r="H35" s="162"/>
    </row>
    <row r="36" spans="1:8" ht="12.75">
      <c r="A36" s="10" t="s">
        <v>63</v>
      </c>
      <c r="B36" s="11"/>
      <c r="C36" s="265">
        <f>Feuil7!AF20</f>
        <v>36827</v>
      </c>
      <c r="D36" s="249"/>
      <c r="E36" s="384" t="str">
        <f>Feuil7!AG20</f>
        <v>09h00</v>
      </c>
      <c r="F36" s="385"/>
      <c r="G36" s="125"/>
      <c r="H36" s="123"/>
    </row>
    <row r="37" spans="1:8" ht="12.75">
      <c r="A37" s="10" t="s">
        <v>64</v>
      </c>
      <c r="B37" s="11"/>
      <c r="C37" s="265">
        <f>Feuil7!AF21</f>
        <v>36829</v>
      </c>
      <c r="D37" s="249"/>
      <c r="E37" s="384" t="str">
        <f>Feuil7!AG21</f>
        <v>05h00</v>
      </c>
      <c r="F37" s="385"/>
      <c r="G37" s="125"/>
      <c r="H37" s="123"/>
    </row>
    <row r="38" spans="1:8" ht="12.75">
      <c r="A38" s="10" t="s">
        <v>65</v>
      </c>
      <c r="B38" s="11"/>
      <c r="C38" s="265">
        <f>Feuil7!AF22</f>
        <v>36832</v>
      </c>
      <c r="D38" s="249"/>
      <c r="E38" s="384" t="str">
        <f>Feuil7!AG22</f>
        <v>10h00</v>
      </c>
      <c r="F38" s="385"/>
      <c r="G38" s="125"/>
      <c r="H38" s="123"/>
    </row>
    <row r="39" spans="1:8" ht="12.75">
      <c r="A39" s="10" t="s">
        <v>63</v>
      </c>
      <c r="B39" s="11"/>
      <c r="C39" s="265">
        <f>Feuil7!AF23</f>
        <v>36832</v>
      </c>
      <c r="D39" s="249"/>
      <c r="E39" s="384" t="str">
        <f>Feuil7!AG23</f>
        <v>12h00</v>
      </c>
      <c r="F39" s="385"/>
      <c r="G39" s="290" t="s">
        <v>66</v>
      </c>
      <c r="H39" s="123"/>
    </row>
    <row r="40" spans="1:8" ht="12.75">
      <c r="A40" s="12" t="s">
        <v>67</v>
      </c>
      <c r="B40" s="13"/>
      <c r="C40" s="266">
        <f>Feuil7!AF24</f>
        <v>36832</v>
      </c>
      <c r="D40" s="250"/>
      <c r="E40" s="386" t="str">
        <f>Feuil7!AG24</f>
        <v>14h00</v>
      </c>
      <c r="F40" s="387"/>
      <c r="G40" s="2" t="str">
        <f>Feuil7!AF25</f>
        <v>To order</v>
      </c>
      <c r="H40" s="66"/>
    </row>
    <row r="43" ht="12.75">
      <c r="A43" s="291" t="s">
        <v>68</v>
      </c>
    </row>
    <row r="44" spans="5:8" ht="12.75">
      <c r="E44" s="17" t="s">
        <v>69</v>
      </c>
      <c r="F44" s="16"/>
      <c r="G44" s="292" t="s">
        <v>70</v>
      </c>
      <c r="H44" s="5"/>
    </row>
    <row r="45" spans="1:8" ht="12.75">
      <c r="A45" s="7" t="s">
        <v>71</v>
      </c>
      <c r="B45" s="8"/>
      <c r="C45" s="8" t="s">
        <v>72</v>
      </c>
      <c r="D45" s="9"/>
      <c r="E45" s="68" t="str">
        <f>Feuil1!$G18</f>
        <v>Nantes</v>
      </c>
      <c r="F45" s="122"/>
      <c r="G45" s="62" t="str">
        <f>Feuil1!$G18</f>
        <v>Nantes</v>
      </c>
      <c r="H45" s="122"/>
    </row>
    <row r="46" spans="1:8" ht="12.75">
      <c r="A46" s="10"/>
      <c r="B46" s="6"/>
      <c r="C46" s="6" t="s">
        <v>73</v>
      </c>
      <c r="D46" s="11"/>
      <c r="E46" s="310" t="s">
        <v>74</v>
      </c>
      <c r="F46" s="123"/>
      <c r="G46" s="63" t="s">
        <v>74</v>
      </c>
      <c r="H46" s="123"/>
    </row>
    <row r="47" spans="1:8" ht="12.75">
      <c r="A47" s="10"/>
      <c r="B47" s="6"/>
      <c r="C47" s="6" t="s">
        <v>75</v>
      </c>
      <c r="D47" s="11"/>
      <c r="E47" s="67" t="s">
        <v>76</v>
      </c>
      <c r="F47" s="123"/>
      <c r="G47" s="63" t="s">
        <v>76</v>
      </c>
      <c r="H47" s="123"/>
    </row>
    <row r="48" spans="1:8" ht="12.75">
      <c r="A48" s="12"/>
      <c r="B48" s="2"/>
      <c r="C48" s="2" t="s">
        <v>77</v>
      </c>
      <c r="D48" s="13"/>
      <c r="E48" s="368" t="s">
        <v>362</v>
      </c>
      <c r="F48" s="124"/>
      <c r="G48" s="368" t="str">
        <f>E48</f>
        <v>Starboard</v>
      </c>
      <c r="H48" s="124"/>
    </row>
    <row r="51" spans="1:8" ht="12.75">
      <c r="A51" s="7" t="s">
        <v>78</v>
      </c>
      <c r="B51" s="8"/>
      <c r="C51" s="8"/>
      <c r="D51" s="293" t="s">
        <v>79</v>
      </c>
      <c r="E51" s="126"/>
      <c r="F51" s="126"/>
      <c r="G51" s="126"/>
      <c r="H51" s="122"/>
    </row>
    <row r="52" spans="1:8" ht="12.75">
      <c r="A52" s="10" t="s">
        <v>80</v>
      </c>
      <c r="B52" s="6"/>
      <c r="C52" s="6"/>
      <c r="D52" s="65" t="s">
        <v>79</v>
      </c>
      <c r="E52" s="125"/>
      <c r="F52" s="125"/>
      <c r="G52" s="125"/>
      <c r="H52" s="123"/>
    </row>
    <row r="53" spans="1:8" ht="12.75">
      <c r="A53" s="10" t="s">
        <v>81</v>
      </c>
      <c r="B53" s="6"/>
      <c r="C53" s="6"/>
      <c r="D53" s="65" t="s">
        <v>76</v>
      </c>
      <c r="E53" s="125"/>
      <c r="F53" s="125"/>
      <c r="G53" s="125"/>
      <c r="H53" s="123"/>
    </row>
    <row r="54" spans="1:8" ht="12.75">
      <c r="A54" s="10" t="s">
        <v>82</v>
      </c>
      <c r="B54" s="6"/>
      <c r="C54" s="6"/>
      <c r="D54" s="65" t="s">
        <v>83</v>
      </c>
      <c r="E54" s="125"/>
      <c r="F54" s="125"/>
      <c r="G54" s="125"/>
      <c r="H54" s="123"/>
    </row>
    <row r="55" spans="1:8" ht="12.75">
      <c r="A55" s="12" t="s">
        <v>84</v>
      </c>
      <c r="B55" s="2"/>
      <c r="C55" s="2"/>
      <c r="D55" s="294" t="s">
        <v>76</v>
      </c>
      <c r="E55" s="127"/>
      <c r="F55" s="127"/>
      <c r="G55" s="127"/>
      <c r="H55" s="124"/>
    </row>
  </sheetData>
  <printOptions/>
  <pageMargins left="0.7874015748031497" right="0.5905511811023623" top="0.984251968503937" bottom="0.98425196850393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showZeros="0" workbookViewId="0" topLeftCell="A15">
      <selection activeCell="F15" sqref="F15"/>
    </sheetView>
  </sheetViews>
  <sheetFormatPr defaultColWidth="9.140625" defaultRowHeight="12.75"/>
  <cols>
    <col min="1" max="16384" width="11.421875" style="0" customWidth="1"/>
  </cols>
  <sheetData>
    <row r="1" ht="12.75">
      <c r="A1" t="s">
        <v>85</v>
      </c>
    </row>
    <row r="4" spans="2:6" ht="18">
      <c r="B4" s="6"/>
      <c r="C4" s="6"/>
      <c r="D4" s="139"/>
      <c r="E4" s="6"/>
      <c r="F4" s="6"/>
    </row>
    <row r="8" spans="1:6" ht="12.75">
      <c r="A8" t="s">
        <v>86</v>
      </c>
      <c r="B8" s="148" t="str">
        <f>Feuil1!$G14</f>
        <v>SORMOVSKIY 3057</v>
      </c>
      <c r="E8" t="s">
        <v>87</v>
      </c>
      <c r="F8" t="str">
        <f>Feuil1!$G18</f>
        <v>Nantes</v>
      </c>
    </row>
    <row r="9" spans="1:6" ht="12.75">
      <c r="A9" t="s">
        <v>48</v>
      </c>
      <c r="B9" t="str">
        <f>Feuil1!$G15</f>
        <v>AMMONNITRATE</v>
      </c>
      <c r="E9" t="s">
        <v>88</v>
      </c>
      <c r="F9" s="69">
        <f>Feuil1!$G19</f>
        <v>36832</v>
      </c>
    </row>
    <row r="11" spans="1:4" ht="12.75">
      <c r="A11" s="143"/>
      <c r="D11" s="142" t="s">
        <v>89</v>
      </c>
    </row>
    <row r="14" spans="1:6" ht="12.75">
      <c r="A14" t="s">
        <v>90</v>
      </c>
      <c r="B14" s="69">
        <f>Feuil2!$C35</f>
        <v>36827</v>
      </c>
      <c r="E14" t="s">
        <v>91</v>
      </c>
      <c r="F14" s="60" t="str">
        <f>Feuil7!B62</f>
        <v>1.025</v>
      </c>
    </row>
    <row r="15" spans="1:6" ht="12.75">
      <c r="A15" t="s">
        <v>92</v>
      </c>
      <c r="B15" s="69">
        <f>Feuil2!$C40</f>
        <v>36832</v>
      </c>
      <c r="E15" t="s">
        <v>91</v>
      </c>
      <c r="F15" s="60">
        <f>Feuil7!C62</f>
        <v>1</v>
      </c>
    </row>
    <row r="16" spans="1:2" ht="12.75">
      <c r="A16" t="s">
        <v>93</v>
      </c>
      <c r="B16" s="61">
        <f>Feuil2!$G7</f>
        <v>112.5</v>
      </c>
    </row>
    <row r="17" spans="6:7" ht="12.75">
      <c r="F17" s="295" t="s">
        <v>69</v>
      </c>
      <c r="G17" s="296" t="s">
        <v>70</v>
      </c>
    </row>
    <row r="18" spans="6:7" ht="12.75">
      <c r="F18" s="297" t="s">
        <v>94</v>
      </c>
      <c r="G18" s="298" t="s">
        <v>94</v>
      </c>
    </row>
    <row r="19" spans="1:7" ht="12.75">
      <c r="A19" s="3" t="s">
        <v>95</v>
      </c>
      <c r="B19" s="4"/>
      <c r="C19" s="4"/>
      <c r="D19" s="4"/>
      <c r="E19" s="4"/>
      <c r="F19" s="55">
        <f>Feuil7!B8</f>
        <v>-17.05</v>
      </c>
      <c r="G19" s="56">
        <f>Feuil7!C8</f>
        <v>-17.05</v>
      </c>
    </row>
    <row r="20" spans="1:7" ht="12.75">
      <c r="A20" s="3" t="s">
        <v>96</v>
      </c>
      <c r="B20" s="4"/>
      <c r="C20" s="4"/>
      <c r="D20" s="4"/>
      <c r="E20" s="4"/>
      <c r="F20" s="57">
        <f>Feuil7!B10</f>
        <v>0.325</v>
      </c>
      <c r="G20" s="56">
        <f>Feuil7!C10</f>
        <v>0.325</v>
      </c>
    </row>
    <row r="21" spans="1:7" ht="12.75">
      <c r="A21" s="3" t="s">
        <v>97</v>
      </c>
      <c r="B21" s="4"/>
      <c r="C21" s="4"/>
      <c r="D21" s="4"/>
      <c r="E21" s="4"/>
      <c r="F21" s="57">
        <f>Feuil7!B9</f>
        <v>29.45</v>
      </c>
      <c r="G21" s="56">
        <f>Feuil7!C9</f>
        <v>29.45</v>
      </c>
    </row>
    <row r="22" spans="1:7" ht="12.75">
      <c r="A22" s="3" t="s">
        <v>98</v>
      </c>
      <c r="B22" s="4"/>
      <c r="C22" s="4"/>
      <c r="D22" s="4"/>
      <c r="E22" s="4"/>
      <c r="F22" s="54">
        <f>B16+F19-F21</f>
        <v>66</v>
      </c>
      <c r="G22" s="48">
        <f>B16+G19-G21</f>
        <v>66</v>
      </c>
    </row>
    <row r="23" spans="6:7" ht="12.75">
      <c r="F23" s="49"/>
      <c r="G23" s="49"/>
    </row>
    <row r="24" spans="1:7" ht="12.75">
      <c r="A24" s="7" t="s">
        <v>99</v>
      </c>
      <c r="B24" s="8"/>
      <c r="C24" s="8"/>
      <c r="D24" s="8"/>
      <c r="E24" s="8"/>
      <c r="F24" s="58">
        <f>Feuil7!B15</f>
        <v>3.85</v>
      </c>
      <c r="G24" s="58">
        <f>Feuil7!C15</f>
        <v>2.3</v>
      </c>
    </row>
    <row r="25" spans="1:7" ht="12.75">
      <c r="A25" s="3" t="s">
        <v>100</v>
      </c>
      <c r="B25" s="4"/>
      <c r="C25" s="4"/>
      <c r="D25" s="4"/>
      <c r="E25" s="4"/>
      <c r="F25" s="57">
        <f>Feuil7!B16</f>
        <v>3.85</v>
      </c>
      <c r="G25" s="57">
        <f>Feuil7!C16</f>
        <v>2.3</v>
      </c>
    </row>
    <row r="26" spans="1:7" ht="12.75">
      <c r="A26" s="12" t="s">
        <v>101</v>
      </c>
      <c r="B26" s="2"/>
      <c r="C26" s="2"/>
      <c r="D26" s="2"/>
      <c r="E26" s="2"/>
      <c r="F26" s="51">
        <f>(F24+F25)/2</f>
        <v>3.85</v>
      </c>
      <c r="G26" s="51">
        <f>(G24+G25)/2</f>
        <v>2.3</v>
      </c>
    </row>
    <row r="27" spans="6:7" ht="12.75">
      <c r="F27" s="49"/>
      <c r="G27" s="49"/>
    </row>
    <row r="28" spans="1:7" ht="12.75">
      <c r="A28" s="7" t="s">
        <v>102</v>
      </c>
      <c r="B28" s="8"/>
      <c r="C28" s="8"/>
      <c r="D28" s="8"/>
      <c r="E28" s="8"/>
      <c r="F28" s="58">
        <f>Feuil7!B19</f>
        <v>4.15</v>
      </c>
      <c r="G28" s="58">
        <f>Feuil7!C19</f>
        <v>3.58</v>
      </c>
    </row>
    <row r="29" spans="1:7" ht="12.75">
      <c r="A29" s="3" t="s">
        <v>103</v>
      </c>
      <c r="B29" s="4"/>
      <c r="C29" s="4"/>
      <c r="D29" s="4"/>
      <c r="E29" s="4"/>
      <c r="F29" s="57">
        <f>Feuil7!B20</f>
        <v>4.15</v>
      </c>
      <c r="G29" s="57">
        <f>Feuil7!C20</f>
        <v>3.65</v>
      </c>
    </row>
    <row r="30" spans="1:7" ht="12.75">
      <c r="A30" s="12" t="s">
        <v>104</v>
      </c>
      <c r="B30" s="2"/>
      <c r="C30" s="2"/>
      <c r="D30" s="2"/>
      <c r="E30" s="2"/>
      <c r="F30" s="51">
        <f>(F28+F29)/2</f>
        <v>4.15</v>
      </c>
      <c r="G30" s="51">
        <f>(G28+G29)/2</f>
        <v>3.615</v>
      </c>
    </row>
    <row r="31" spans="6:7" ht="12.75">
      <c r="F31" s="49"/>
      <c r="G31" s="49"/>
    </row>
    <row r="32" spans="1:7" ht="12.75">
      <c r="A32" s="3" t="s">
        <v>105</v>
      </c>
      <c r="B32" s="4"/>
      <c r="C32" s="4"/>
      <c r="D32" s="4"/>
      <c r="E32" s="4"/>
      <c r="F32" s="48">
        <f>F30-F26</f>
        <v>0.30000000000000027</v>
      </c>
      <c r="G32" s="48">
        <f>G30-G26</f>
        <v>1.3150000000000004</v>
      </c>
    </row>
    <row r="33" spans="6:7" ht="12.75">
      <c r="F33" s="49"/>
      <c r="G33" s="49"/>
    </row>
    <row r="34" spans="1:7" ht="12.75">
      <c r="A34" s="7" t="s">
        <v>106</v>
      </c>
      <c r="B34" s="8"/>
      <c r="C34" s="8"/>
      <c r="D34" s="8"/>
      <c r="E34" s="8"/>
      <c r="F34" s="50">
        <f>(F19*F32)/F22</f>
        <v>-0.07750000000000007</v>
      </c>
      <c r="G34" s="50">
        <f>(G19*G32)/G22</f>
        <v>-0.33970833333333345</v>
      </c>
    </row>
    <row r="35" spans="1:7" ht="12.75">
      <c r="A35" s="3" t="s">
        <v>107</v>
      </c>
      <c r="B35" s="4"/>
      <c r="C35" s="4"/>
      <c r="D35" s="4"/>
      <c r="E35" s="4"/>
      <c r="F35" s="48">
        <f>F26+F34</f>
        <v>3.7725</v>
      </c>
      <c r="G35" s="48">
        <f>G26+G34</f>
        <v>1.9602916666666663</v>
      </c>
    </row>
    <row r="36" spans="6:7" ht="12.75">
      <c r="F36" s="49"/>
      <c r="G36" s="49"/>
    </row>
    <row r="37" spans="1:7" ht="12.75">
      <c r="A37" s="7" t="s">
        <v>108</v>
      </c>
      <c r="B37" s="8"/>
      <c r="C37" s="8"/>
      <c r="D37" s="8"/>
      <c r="E37" s="8"/>
      <c r="F37" s="50">
        <f>(F21*F32)/F22</f>
        <v>0.1338636363636365</v>
      </c>
      <c r="G37" s="50">
        <f>(G21*G32)/G22</f>
        <v>0.5867689393939396</v>
      </c>
    </row>
    <row r="38" spans="1:7" ht="12.75">
      <c r="A38" s="3" t="s">
        <v>109</v>
      </c>
      <c r="B38" s="4"/>
      <c r="C38" s="4"/>
      <c r="D38" s="4"/>
      <c r="E38" s="4"/>
      <c r="F38" s="48">
        <f>F30+F37</f>
        <v>4.283863636363637</v>
      </c>
      <c r="G38" s="48">
        <f>G30+G37</f>
        <v>4.20176893939394</v>
      </c>
    </row>
    <row r="39" spans="6:7" ht="12.75">
      <c r="F39" s="49"/>
      <c r="G39" s="49"/>
    </row>
    <row r="40" spans="1:7" ht="12.75">
      <c r="A40" s="3" t="s">
        <v>110</v>
      </c>
      <c r="B40" s="4"/>
      <c r="C40" s="4"/>
      <c r="D40" s="4"/>
      <c r="E40" s="4"/>
      <c r="F40" s="48">
        <f>F38-F35</f>
        <v>0.5113636363636367</v>
      </c>
      <c r="G40" s="48">
        <f>G38-G35</f>
        <v>2.2414772727272734</v>
      </c>
    </row>
    <row r="41" spans="6:7" ht="12.75">
      <c r="F41" s="49"/>
      <c r="G41" s="49"/>
    </row>
    <row r="42" spans="1:7" ht="12.75">
      <c r="A42" s="3" t="s">
        <v>111</v>
      </c>
      <c r="B42" s="4"/>
      <c r="C42" s="4"/>
      <c r="D42" s="4"/>
      <c r="E42" s="4"/>
      <c r="F42" s="48">
        <f>(F38+F35)/2</f>
        <v>4.028181818181818</v>
      </c>
      <c r="G42" s="48">
        <f>(G38+G35)/2</f>
        <v>3.0810303030303032</v>
      </c>
    </row>
    <row r="43" spans="6:7" ht="12.75">
      <c r="F43" s="49"/>
      <c r="G43" s="49"/>
    </row>
    <row r="44" spans="1:7" ht="12.75">
      <c r="A44" s="7" t="s">
        <v>112</v>
      </c>
      <c r="B44" s="8"/>
      <c r="C44" s="8"/>
      <c r="D44" s="8"/>
      <c r="E44" s="8"/>
      <c r="F44" s="58">
        <f>Feuil7!B35</f>
        <v>4.05</v>
      </c>
      <c r="G44" s="58">
        <f>Feuil7!C35</f>
        <v>2.84</v>
      </c>
    </row>
    <row r="45" spans="1:7" ht="12.75">
      <c r="A45" s="3" t="s">
        <v>113</v>
      </c>
      <c r="B45" s="4"/>
      <c r="C45" s="4"/>
      <c r="D45" s="4"/>
      <c r="E45" s="4"/>
      <c r="F45" s="57">
        <f>Feuil7!B36</f>
        <v>4.05</v>
      </c>
      <c r="G45" s="57">
        <f>Feuil7!C36</f>
        <v>2.93</v>
      </c>
    </row>
    <row r="46" spans="1:7" ht="12.75">
      <c r="A46" s="12" t="s">
        <v>114</v>
      </c>
      <c r="B46" s="2"/>
      <c r="C46" s="2"/>
      <c r="D46" s="2"/>
      <c r="E46" s="2"/>
      <c r="F46" s="51">
        <f>(F44+F45)/2</f>
        <v>4.05</v>
      </c>
      <c r="G46" s="51">
        <f>(G44+G45)/2</f>
        <v>2.885</v>
      </c>
    </row>
    <row r="47" spans="6:7" ht="12.75">
      <c r="F47" s="49"/>
      <c r="G47" s="49"/>
    </row>
    <row r="48" spans="1:7" ht="12.75">
      <c r="A48" s="7" t="s">
        <v>115</v>
      </c>
      <c r="B48" s="8"/>
      <c r="C48" s="8"/>
      <c r="D48" s="8"/>
      <c r="E48" s="8"/>
      <c r="F48" s="50">
        <f>(F20*F40)/F22</f>
        <v>0.002518078512396696</v>
      </c>
      <c r="G48" s="50">
        <f>(G20*G40)/G22</f>
        <v>0.011037577479338846</v>
      </c>
    </row>
    <row r="49" spans="1:7" ht="12.75">
      <c r="A49" s="3" t="s">
        <v>116</v>
      </c>
      <c r="B49" s="4"/>
      <c r="C49" s="4"/>
      <c r="D49" s="4"/>
      <c r="E49" s="4"/>
      <c r="F49" s="48">
        <f>F46+F48</f>
        <v>4.052518078512397</v>
      </c>
      <c r="G49" s="48">
        <f>G46+G48</f>
        <v>2.8960375774793388</v>
      </c>
    </row>
    <row r="50" spans="6:7" ht="12.75">
      <c r="F50" s="49"/>
      <c r="G50" s="49"/>
    </row>
    <row r="51" spans="1:7" ht="12.75">
      <c r="A51" s="3" t="s">
        <v>117</v>
      </c>
      <c r="B51" s="4"/>
      <c r="C51" s="4"/>
      <c r="D51" s="4"/>
      <c r="E51" s="4"/>
      <c r="F51" s="48">
        <f>F42-F49</f>
        <v>-0.02433626033057834</v>
      </c>
      <c r="G51" s="48">
        <f>G42-G49</f>
        <v>0.18499272555096447</v>
      </c>
    </row>
    <row r="52" spans="1:7" ht="12.75">
      <c r="A52" s="6"/>
      <c r="B52" s="6"/>
      <c r="C52" s="6"/>
      <c r="D52" s="6"/>
      <c r="E52" s="6"/>
      <c r="F52" s="52"/>
      <c r="G52" s="52"/>
    </row>
    <row r="53" spans="6:7" ht="12.75">
      <c r="F53" s="49"/>
      <c r="G53" s="49"/>
    </row>
    <row r="54" spans="1:7" ht="12.75">
      <c r="A54" s="39" t="s">
        <v>118</v>
      </c>
      <c r="B54" s="4"/>
      <c r="C54" s="137" t="s">
        <v>119</v>
      </c>
      <c r="D54" s="137"/>
      <c r="E54" s="137"/>
      <c r="F54" s="53">
        <f>(F35+F38+6*F49)/8</f>
        <v>4.046434013429752</v>
      </c>
      <c r="G54" s="53">
        <f>(G35+G38+6*G49)/8</f>
        <v>2.94228575886708</v>
      </c>
    </row>
  </sheetData>
  <printOptions/>
  <pageMargins left="0.7874015748031497" right="0.5905511811023623" top="0.984251968503937" bottom="0.984251968503937" header="0.5118110236220472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showZeros="0" workbookViewId="0" topLeftCell="B17">
      <selection activeCell="F25" sqref="F25"/>
    </sheetView>
  </sheetViews>
  <sheetFormatPr defaultColWidth="9.140625" defaultRowHeight="12.75"/>
  <cols>
    <col min="1" max="1" width="4.8515625" style="0" customWidth="1"/>
    <col min="2" max="2" width="3.7109375" style="0" customWidth="1"/>
    <col min="3" max="3" width="8.8515625" style="0" customWidth="1"/>
    <col min="4" max="4" width="10.28125" style="0" customWidth="1"/>
    <col min="5" max="5" width="1.1484375" style="0" customWidth="1"/>
    <col min="6" max="6" width="5.57421875" style="0" customWidth="1"/>
    <col min="7" max="7" width="9.7109375" style="0" customWidth="1"/>
    <col min="8" max="8" width="6.421875" style="0" customWidth="1"/>
    <col min="9" max="9" width="10.00390625" style="0" customWidth="1"/>
    <col min="10" max="10" width="1.28515625" style="0" customWidth="1"/>
    <col min="11" max="11" width="5.8515625" style="0" customWidth="1"/>
    <col min="12" max="12" width="10.57421875" style="0" customWidth="1"/>
    <col min="13" max="13" width="6.421875" style="0" customWidth="1"/>
    <col min="14" max="14" width="10.421875" style="0" customWidth="1"/>
    <col min="15" max="15" width="13.7109375" style="0" customWidth="1"/>
    <col min="16" max="16384" width="11.421875" style="0" customWidth="1"/>
  </cols>
  <sheetData>
    <row r="1" spans="1:3" ht="12.75">
      <c r="A1" s="59" t="s">
        <v>120</v>
      </c>
      <c r="B1" s="59"/>
      <c r="C1" s="59"/>
    </row>
    <row r="5" spans="6:13" ht="18">
      <c r="F5" s="6"/>
      <c r="G5" s="6"/>
      <c r="H5" s="139"/>
      <c r="J5" s="6"/>
      <c r="K5" s="6"/>
      <c r="L5" s="6"/>
      <c r="M5" s="6"/>
    </row>
    <row r="9" spans="1:12" ht="12.75">
      <c r="A9" t="s">
        <v>86</v>
      </c>
      <c r="D9" s="148" t="str">
        <f>Feuil1!$G14</f>
        <v>SORMOVSKIY 3057</v>
      </c>
      <c r="E9" s="59"/>
      <c r="K9" t="s">
        <v>87</v>
      </c>
      <c r="L9" t="str">
        <f>Feuil1!$G18</f>
        <v>Nantes</v>
      </c>
    </row>
    <row r="10" spans="1:12" ht="12.75">
      <c r="A10" t="s">
        <v>48</v>
      </c>
      <c r="D10" t="str">
        <f>Feuil1!$G15</f>
        <v>AMMONNITRATE</v>
      </c>
      <c r="K10" t="s">
        <v>88</v>
      </c>
      <c r="L10" s="274">
        <f>Feuil1!$G19</f>
        <v>36832</v>
      </c>
    </row>
    <row r="13" ht="12.75">
      <c r="N13" s="18"/>
    </row>
    <row r="14" spans="1:3" ht="12.75">
      <c r="A14" s="143" t="s">
        <v>344</v>
      </c>
      <c r="B14" s="143"/>
      <c r="C14" s="143"/>
    </row>
    <row r="16" spans="6:14" ht="12.75">
      <c r="F16" s="7"/>
      <c r="G16" s="299" t="s">
        <v>121</v>
      </c>
      <c r="H16" s="23"/>
      <c r="I16" s="24"/>
      <c r="J16" s="131"/>
      <c r="K16" s="22"/>
      <c r="L16" s="8"/>
      <c r="M16" s="300" t="s">
        <v>122</v>
      </c>
      <c r="N16" s="24"/>
    </row>
    <row r="17" spans="6:14" ht="12.75">
      <c r="F17" s="12"/>
      <c r="G17" s="2"/>
      <c r="H17" s="2"/>
      <c r="I17" s="13"/>
      <c r="J17" s="6"/>
      <c r="K17" s="12"/>
      <c r="L17" s="31"/>
      <c r="M17" s="2"/>
      <c r="N17" s="66"/>
    </row>
    <row r="18" spans="1:14" ht="12.75">
      <c r="A18" s="393" t="s">
        <v>123</v>
      </c>
      <c r="B18" s="394"/>
      <c r="C18" s="395"/>
      <c r="D18" s="255" t="s">
        <v>124</v>
      </c>
      <c r="E18" s="253"/>
      <c r="F18" s="252"/>
      <c r="G18" s="254"/>
      <c r="H18" s="252"/>
      <c r="I18" s="255"/>
      <c r="J18" s="253"/>
      <c r="K18" s="128"/>
      <c r="L18" s="252"/>
      <c r="M18" s="254"/>
      <c r="N18" s="252"/>
    </row>
    <row r="19" spans="1:14" ht="12.75">
      <c r="A19" s="396" t="s">
        <v>125</v>
      </c>
      <c r="B19" s="397"/>
      <c r="C19" s="398"/>
      <c r="D19" s="257" t="s">
        <v>126</v>
      </c>
      <c r="E19" s="253"/>
      <c r="F19" s="256" t="s">
        <v>127</v>
      </c>
      <c r="G19" s="253" t="s">
        <v>128</v>
      </c>
      <c r="H19" s="256" t="s">
        <v>129</v>
      </c>
      <c r="I19" s="257" t="s">
        <v>130</v>
      </c>
      <c r="J19" s="253"/>
      <c r="K19" s="129" t="s">
        <v>127</v>
      </c>
      <c r="L19" s="256" t="s">
        <v>128</v>
      </c>
      <c r="M19" s="253" t="s">
        <v>129</v>
      </c>
      <c r="N19" s="256" t="s">
        <v>130</v>
      </c>
    </row>
    <row r="20" spans="1:14" ht="12.75">
      <c r="A20" s="399" t="s">
        <v>131</v>
      </c>
      <c r="B20" s="400"/>
      <c r="C20" s="401"/>
      <c r="D20" s="260" t="s">
        <v>132</v>
      </c>
      <c r="E20" s="253"/>
      <c r="F20" s="258" t="s">
        <v>133</v>
      </c>
      <c r="G20" s="259" t="s">
        <v>132</v>
      </c>
      <c r="H20" s="258"/>
      <c r="I20" s="260" t="s">
        <v>134</v>
      </c>
      <c r="J20" s="253"/>
      <c r="K20" s="130" t="s">
        <v>133</v>
      </c>
      <c r="L20" s="258" t="s">
        <v>132</v>
      </c>
      <c r="M20" s="259"/>
      <c r="N20" s="258" t="s">
        <v>134</v>
      </c>
    </row>
    <row r="22" spans="1:14" ht="12.75">
      <c r="A22" s="365" t="str">
        <f>Feuil7!K9</f>
        <v>FPT</v>
      </c>
      <c r="B22" s="365">
        <f>Feuil7!L9</f>
        <v>0</v>
      </c>
      <c r="C22" s="367">
        <f>Feuil7!M9</f>
        <v>0</v>
      </c>
      <c r="D22" s="261">
        <f>Feuil7!N9</f>
        <v>141.594</v>
      </c>
      <c r="E22" s="168"/>
      <c r="F22" s="170" t="str">
        <f>Feuil7!P9</f>
        <v>Nil</v>
      </c>
      <c r="G22" s="170">
        <f>Feuil7!Q9</f>
        <v>0</v>
      </c>
      <c r="H22" s="170">
        <f>Feuil7!R9</f>
        <v>0</v>
      </c>
      <c r="I22" s="261">
        <f>Feuil7!S9</f>
        <v>0</v>
      </c>
      <c r="J22" s="168"/>
      <c r="K22" s="170" t="str">
        <f>Feuil7!Z9</f>
        <v>Nil</v>
      </c>
      <c r="L22" s="170">
        <f>Feuil7!AA9</f>
        <v>141.594</v>
      </c>
      <c r="M22" s="170">
        <f>Feuil7!AB9</f>
        <v>0</v>
      </c>
      <c r="N22" s="261">
        <f>Feuil7!AC9</f>
        <v>0</v>
      </c>
    </row>
    <row r="23" spans="1:14" ht="12.75">
      <c r="A23" s="365" t="str">
        <f>Feuil7!K10</f>
        <v>DB</v>
      </c>
      <c r="B23" s="365">
        <f>Feuil7!L10</f>
        <v>2</v>
      </c>
      <c r="C23" s="367" t="str">
        <f>Feuil7!M10</f>
        <v>port</v>
      </c>
      <c r="D23" s="261">
        <f>Feuil7!N10</f>
        <v>173.18</v>
      </c>
      <c r="E23" s="168"/>
      <c r="F23" s="170" t="str">
        <f>Feuil7!P10</f>
        <v>0.030</v>
      </c>
      <c r="G23" s="170">
        <f>Feuil7!Q10</f>
        <v>0</v>
      </c>
      <c r="H23" s="170">
        <f>Feuil7!R10</f>
        <v>0</v>
      </c>
      <c r="I23" s="261">
        <f>Feuil7!S10</f>
        <v>0</v>
      </c>
      <c r="J23" s="168"/>
      <c r="K23" s="170" t="str">
        <f>Feuil7!Z10</f>
        <v>1Full</v>
      </c>
      <c r="L23" s="170">
        <f>Feuil7!AA10</f>
        <v>173.18</v>
      </c>
      <c r="M23" s="170" t="str">
        <f>Feuil7!AB10</f>
        <v>1.025</v>
      </c>
      <c r="N23" s="261" t="e">
        <f>Feuil7!AC10</f>
        <v>#VALUE!</v>
      </c>
    </row>
    <row r="24" spans="1:14" ht="12.75">
      <c r="A24" s="365" t="str">
        <f>Feuil7!K11</f>
        <v>DB</v>
      </c>
      <c r="B24" s="365">
        <f>Feuil7!L11</f>
        <v>2</v>
      </c>
      <c r="C24" s="367" t="str">
        <f>Feuil7!M11</f>
        <v>starboard</v>
      </c>
      <c r="D24" s="261">
        <f>Feuil7!N11</f>
        <v>173.18</v>
      </c>
      <c r="E24" s="168"/>
      <c r="F24" s="170">
        <f>Feuil7!P11</f>
        <v>0.03</v>
      </c>
      <c r="G24" s="170">
        <f>Feuil7!Q11</f>
        <v>2</v>
      </c>
      <c r="H24" s="170">
        <f>Feuil7!R11</f>
        <v>1.025</v>
      </c>
      <c r="I24" s="261">
        <f>Feuil7!S11</f>
        <v>2.05</v>
      </c>
      <c r="J24" s="168"/>
      <c r="K24" s="170" t="str">
        <f>Feuil7!Z11</f>
        <v>Full</v>
      </c>
      <c r="L24" s="170">
        <f>Feuil7!AA11</f>
        <v>173.18</v>
      </c>
      <c r="M24" s="170">
        <f>Feuil7!AB11</f>
        <v>1</v>
      </c>
      <c r="N24" s="261">
        <f>Feuil7!AC11</f>
        <v>173.18</v>
      </c>
    </row>
    <row r="25" spans="1:14" ht="12.75">
      <c r="A25" s="365" t="str">
        <f>Feuil7!K12</f>
        <v>DB</v>
      </c>
      <c r="B25" s="365">
        <f>Feuil7!L12</f>
        <v>3</v>
      </c>
      <c r="C25" s="367" t="str">
        <f>Feuil7!M12</f>
        <v>port</v>
      </c>
      <c r="D25" s="261">
        <f>Feuil7!N12</f>
        <v>247.27</v>
      </c>
      <c r="E25" s="168"/>
      <c r="F25" s="170">
        <f>Feuil7!P12</f>
        <v>1</v>
      </c>
      <c r="G25" s="170">
        <f>Feuil7!Q12</f>
        <v>90</v>
      </c>
      <c r="H25" s="170" t="str">
        <f>Feuil7!R12</f>
        <v>    1.025</v>
      </c>
      <c r="I25" s="261" t="e">
        <f>Feuil7!#REF!</f>
        <v>#REF!</v>
      </c>
      <c r="J25" s="168"/>
      <c r="K25" s="170" t="str">
        <f>Feuil7!Z12</f>
        <v>Full</v>
      </c>
      <c r="L25" s="170">
        <f>Feuil7!AA12</f>
        <v>247.27</v>
      </c>
      <c r="M25" s="170">
        <f>Feuil7!AB12</f>
        <v>1</v>
      </c>
      <c r="N25" s="261">
        <f>Feuil7!AC12</f>
        <v>247.27</v>
      </c>
    </row>
    <row r="26" spans="1:14" ht="12.75">
      <c r="A26" s="365" t="str">
        <f>Feuil7!K13</f>
        <v>DB</v>
      </c>
      <c r="B26" s="365">
        <f>Feuil7!L13</f>
        <v>3</v>
      </c>
      <c r="C26" s="367" t="str">
        <f>Feuil7!M13</f>
        <v>starboard</v>
      </c>
      <c r="D26" s="261">
        <f>Feuil7!N13</f>
        <v>247.27</v>
      </c>
      <c r="E26" s="168"/>
      <c r="F26" s="170" t="str">
        <f>Feuil7!P13</f>
        <v>Nil</v>
      </c>
      <c r="G26" s="170">
        <f>Feuil7!Q13</f>
        <v>0</v>
      </c>
      <c r="H26" s="170">
        <f>Feuil7!R13</f>
        <v>0</v>
      </c>
      <c r="I26" s="261" t="e">
        <f>Feuil7!#REF!</f>
        <v>#REF!</v>
      </c>
      <c r="J26" s="168"/>
      <c r="K26" s="170" t="str">
        <f>Feuil7!Z13</f>
        <v>Full</v>
      </c>
      <c r="L26" s="170">
        <f>Feuil7!AA13</f>
        <v>247.27</v>
      </c>
      <c r="M26" s="170">
        <f>Feuil7!AB13</f>
        <v>1</v>
      </c>
      <c r="N26" s="261">
        <f>Feuil7!AC13</f>
        <v>247.27</v>
      </c>
    </row>
    <row r="27" spans="1:14" ht="12.75">
      <c r="A27" s="365" t="str">
        <f>Feuil7!K14</f>
        <v>DB</v>
      </c>
      <c r="B27" s="365">
        <f>Feuil7!L14</f>
        <v>4</v>
      </c>
      <c r="C27" s="367" t="str">
        <f>Feuil7!M14</f>
        <v>port</v>
      </c>
      <c r="D27" s="261">
        <f>Feuil7!N14</f>
        <v>247.24</v>
      </c>
      <c r="E27" s="168"/>
      <c r="F27" s="170" t="str">
        <f>Feuil7!P14</f>
        <v>Nil</v>
      </c>
      <c r="G27" s="170">
        <f>Feuil7!Q14</f>
        <v>0</v>
      </c>
      <c r="H27" s="170">
        <f>Feuil7!R14</f>
        <v>0</v>
      </c>
      <c r="I27" s="261" t="e">
        <f>Feuil7!#REF!</f>
        <v>#REF!</v>
      </c>
      <c r="J27" s="168"/>
      <c r="K27" s="170" t="str">
        <f>Feuil7!Z14</f>
        <v>Full</v>
      </c>
      <c r="L27" s="170">
        <f>Feuil7!AA14</f>
        <v>247.24</v>
      </c>
      <c r="M27" s="170">
        <f>Feuil7!AB14</f>
        <v>1</v>
      </c>
      <c r="N27" s="261">
        <f>Feuil7!AC14</f>
        <v>247.24</v>
      </c>
    </row>
    <row r="28" spans="1:14" ht="12.75">
      <c r="A28" s="365" t="str">
        <f>Feuil7!K15</f>
        <v>DB</v>
      </c>
      <c r="B28" s="365">
        <f>Feuil7!L15</f>
        <v>4</v>
      </c>
      <c r="C28" s="367" t="str">
        <f>Feuil7!M15</f>
        <v>starboard</v>
      </c>
      <c r="D28" s="261">
        <f>Feuil7!N15</f>
        <v>247.24</v>
      </c>
      <c r="E28" s="168"/>
      <c r="F28" s="170" t="str">
        <f>Feuil7!P15</f>
        <v>Nil</v>
      </c>
      <c r="G28" s="170">
        <f>Feuil7!Q15</f>
        <v>0</v>
      </c>
      <c r="H28" s="170">
        <f>Feuil7!R15</f>
        <v>0</v>
      </c>
      <c r="I28" s="261">
        <f>Feuil7!S13</f>
        <v>0</v>
      </c>
      <c r="J28" s="168"/>
      <c r="K28" s="170" t="str">
        <f>Feuil7!Z15</f>
        <v>Full</v>
      </c>
      <c r="L28" s="170">
        <f>Feuil7!AA15</f>
        <v>247.24</v>
      </c>
      <c r="M28" s="170">
        <f>Feuil7!AB15</f>
        <v>1</v>
      </c>
      <c r="N28" s="261">
        <f>Feuil7!AC15</f>
        <v>247.24</v>
      </c>
    </row>
    <row r="29" spans="1:14" ht="12.75">
      <c r="A29" s="365" t="str">
        <f>Feuil7!K16</f>
        <v>DB</v>
      </c>
      <c r="B29" s="365">
        <f>Feuil7!L16</f>
        <v>5</v>
      </c>
      <c r="C29" s="367" t="str">
        <f>Feuil7!M16</f>
        <v>port</v>
      </c>
      <c r="D29" s="261">
        <f>Feuil7!N16</f>
        <v>172.1</v>
      </c>
      <c r="E29" s="168"/>
      <c r="F29" s="170" t="str">
        <f>Feuil7!P16</f>
        <v>Nil</v>
      </c>
      <c r="G29" s="170">
        <f>Feuil7!Q16</f>
        <v>0</v>
      </c>
      <c r="H29" s="170">
        <f>Feuil7!R16</f>
        <v>0</v>
      </c>
      <c r="I29" s="261">
        <f>Feuil7!S14</f>
        <v>0</v>
      </c>
      <c r="J29" s="168"/>
      <c r="K29" s="170" t="str">
        <f>Feuil7!Z16</f>
        <v>Full</v>
      </c>
      <c r="L29" s="170">
        <f>Feuil7!AA16</f>
        <v>172.1</v>
      </c>
      <c r="M29" s="170">
        <f>Feuil7!AB16</f>
        <v>1</v>
      </c>
      <c r="N29" s="261">
        <f>Feuil7!AC16</f>
        <v>172.1</v>
      </c>
    </row>
    <row r="30" spans="1:14" ht="12.75">
      <c r="A30" s="365" t="str">
        <f>Feuil7!K17</f>
        <v>DB</v>
      </c>
      <c r="B30" s="365">
        <f>Feuil7!L17</f>
        <v>5</v>
      </c>
      <c r="C30" s="367" t="str">
        <f>Feuil7!M17</f>
        <v>starboard</v>
      </c>
      <c r="D30" s="261">
        <f>Feuil7!N17</f>
        <v>172.1</v>
      </c>
      <c r="E30" s="168"/>
      <c r="F30" s="170" t="str">
        <f>Feuil7!P17</f>
        <v>Nil</v>
      </c>
      <c r="G30" s="170">
        <f>Feuil7!Q17</f>
        <v>0</v>
      </c>
      <c r="H30" s="170">
        <f>Feuil7!R17</f>
        <v>0</v>
      </c>
      <c r="I30" s="261">
        <f>Feuil7!S15</f>
        <v>0</v>
      </c>
      <c r="J30" s="168"/>
      <c r="K30" s="170" t="str">
        <f>Feuil7!Z17</f>
        <v>Full</v>
      </c>
      <c r="L30" s="170">
        <f>Feuil7!AA17</f>
        <v>172.1</v>
      </c>
      <c r="M30" s="170">
        <f>Feuil7!AB17</f>
        <v>1</v>
      </c>
      <c r="N30" s="261">
        <f>Feuil7!AC17</f>
        <v>172.1</v>
      </c>
    </row>
    <row r="31" spans="1:14" ht="12.75">
      <c r="A31" s="365" t="str">
        <f>Feuil7!K18</f>
        <v>AFTPT</v>
      </c>
      <c r="B31" s="365">
        <f>Feuil7!L18</f>
        <v>0</v>
      </c>
      <c r="C31" s="367">
        <f>Feuil7!M18</f>
        <v>0</v>
      </c>
      <c r="D31" s="261">
        <f>Feuil7!N18</f>
        <v>26.473</v>
      </c>
      <c r="E31" s="168"/>
      <c r="F31" s="170" t="str">
        <f>Feuil7!P18</f>
        <v>Nil</v>
      </c>
      <c r="G31" s="170">
        <f>Feuil7!Q18</f>
        <v>0</v>
      </c>
      <c r="H31" s="170">
        <f>Feuil7!R18</f>
        <v>0</v>
      </c>
      <c r="I31" s="261">
        <f>Feuil7!S16</f>
        <v>0</v>
      </c>
      <c r="J31" s="168"/>
      <c r="K31" s="170" t="str">
        <f>Feuil7!Z18</f>
        <v>Nil</v>
      </c>
      <c r="L31" s="170">
        <f>Feuil7!AA18</f>
        <v>26.473</v>
      </c>
      <c r="M31" s="170">
        <f>Feuil7!AB18</f>
        <v>0</v>
      </c>
      <c r="N31" s="261">
        <f>Feuil7!AC18</f>
        <v>0</v>
      </c>
    </row>
    <row r="32" spans="1:14" ht="12.75">
      <c r="A32" s="365">
        <f>Feuil7!K19</f>
        <v>0</v>
      </c>
      <c r="B32" s="365">
        <f>Feuil7!L19</f>
        <v>0</v>
      </c>
      <c r="C32" s="367">
        <f>Feuil7!M19</f>
        <v>0</v>
      </c>
      <c r="D32" s="261">
        <f>Feuil7!N19</f>
        <v>0</v>
      </c>
      <c r="E32" s="168"/>
      <c r="F32" s="170">
        <f>Feuil7!P19</f>
        <v>0</v>
      </c>
      <c r="G32" s="170">
        <f>Feuil7!Q19</f>
        <v>0</v>
      </c>
      <c r="H32" s="170">
        <f>Feuil7!R19</f>
        <v>0</v>
      </c>
      <c r="I32" s="261">
        <f>Feuil7!S17</f>
        <v>0</v>
      </c>
      <c r="J32" s="168"/>
      <c r="K32" s="170">
        <f>Feuil7!Z19</f>
        <v>0</v>
      </c>
      <c r="L32" s="170">
        <f>Feuil7!AA19</f>
        <v>0</v>
      </c>
      <c r="M32" s="170">
        <f>Feuil7!AB19</f>
        <v>0</v>
      </c>
      <c r="N32" s="261">
        <f>Feuil7!AC19</f>
        <v>0</v>
      </c>
    </row>
    <row r="33" spans="1:14" ht="12.75">
      <c r="A33" s="365">
        <f>Feuil7!K20</f>
        <v>0</v>
      </c>
      <c r="B33" s="365">
        <f>Feuil7!L20</f>
        <v>0</v>
      </c>
      <c r="C33" s="367">
        <f>Feuil7!M20</f>
        <v>0</v>
      </c>
      <c r="D33" s="261">
        <f>Feuil7!N20</f>
        <v>0</v>
      </c>
      <c r="E33" s="168"/>
      <c r="F33" s="170">
        <f>Feuil7!P20</f>
        <v>0</v>
      </c>
      <c r="G33" s="169">
        <f>Feuil7!Q20</f>
        <v>0</v>
      </c>
      <c r="H33" s="170">
        <f>Feuil7!R20</f>
        <v>0</v>
      </c>
      <c r="I33" s="261">
        <f>Feuil7!S18</f>
        <v>0</v>
      </c>
      <c r="J33" s="168"/>
      <c r="K33" s="170">
        <f>Feuil7!Z20</f>
        <v>0</v>
      </c>
      <c r="L33" s="170">
        <f>Feuil7!AA20</f>
        <v>0</v>
      </c>
      <c r="M33" s="170">
        <f>Feuil7!AB20</f>
        <v>0</v>
      </c>
      <c r="N33" s="261">
        <f>Feuil7!AC20</f>
        <v>0</v>
      </c>
    </row>
    <row r="34" spans="1:14" ht="12.75">
      <c r="A34" s="365">
        <f>Feuil7!K21</f>
        <v>0</v>
      </c>
      <c r="B34" s="365">
        <f>Feuil7!L21</f>
        <v>0</v>
      </c>
      <c r="C34" s="367">
        <f>Feuil7!M21</f>
        <v>0</v>
      </c>
      <c r="D34" s="261">
        <f>Feuil7!N21</f>
        <v>0</v>
      </c>
      <c r="E34" s="168"/>
      <c r="F34" s="170">
        <f>Feuil7!P21</f>
        <v>0</v>
      </c>
      <c r="G34" s="169">
        <f>Feuil7!Q21</f>
        <v>0</v>
      </c>
      <c r="H34" s="170">
        <f>Feuil7!R21</f>
        <v>0</v>
      </c>
      <c r="I34" s="261">
        <f>Feuil7!S19</f>
        <v>0</v>
      </c>
      <c r="J34" s="168"/>
      <c r="K34" s="170">
        <f>Feuil7!Z21</f>
        <v>0</v>
      </c>
      <c r="L34" s="170">
        <f>Feuil7!AA21</f>
        <v>0</v>
      </c>
      <c r="M34" s="170">
        <f>Feuil7!AB21</f>
        <v>0</v>
      </c>
      <c r="N34" s="261">
        <f>Feuil7!AC21</f>
        <v>0</v>
      </c>
    </row>
    <row r="35" spans="1:14" ht="12.75">
      <c r="A35" s="365">
        <f>Feuil7!K22</f>
        <v>0</v>
      </c>
      <c r="B35" s="365">
        <f>Feuil7!L22</f>
        <v>0</v>
      </c>
      <c r="C35" s="367">
        <f>Feuil7!M22</f>
        <v>0</v>
      </c>
      <c r="D35" s="261">
        <f>Feuil7!N22</f>
        <v>0</v>
      </c>
      <c r="E35" s="168"/>
      <c r="F35" s="170">
        <f>Feuil7!P22</f>
        <v>0</v>
      </c>
      <c r="G35" s="169">
        <f>Feuil7!Q22</f>
        <v>0</v>
      </c>
      <c r="H35" s="170">
        <f>Feuil7!R22</f>
        <v>0</v>
      </c>
      <c r="I35" s="261">
        <f>Feuil7!S20</f>
        <v>0</v>
      </c>
      <c r="J35" s="168"/>
      <c r="K35" s="170">
        <f>Feuil7!Z22</f>
        <v>0</v>
      </c>
      <c r="L35" s="170">
        <f>Feuil7!AA22</f>
        <v>0</v>
      </c>
      <c r="M35" s="170">
        <f>Feuil7!AB22</f>
        <v>0</v>
      </c>
      <c r="N35" s="261">
        <f>Feuil7!AC22</f>
        <v>0</v>
      </c>
    </row>
    <row r="36" spans="1:14" ht="12.75">
      <c r="A36" s="365">
        <f>Feuil7!K23</f>
        <v>0</v>
      </c>
      <c r="B36" s="365">
        <f>Feuil7!L23</f>
        <v>0</v>
      </c>
      <c r="C36" s="367">
        <f>Feuil7!M23</f>
        <v>0</v>
      </c>
      <c r="D36" s="261">
        <f>Feuil7!N23</f>
        <v>0</v>
      </c>
      <c r="E36" s="168"/>
      <c r="F36" s="170">
        <f>Feuil7!P23</f>
        <v>0</v>
      </c>
      <c r="G36" s="169">
        <f>Feuil7!Q23</f>
        <v>0</v>
      </c>
      <c r="H36" s="170">
        <f>Feuil7!R23</f>
        <v>0</v>
      </c>
      <c r="I36" s="261">
        <f>Feuil7!S21</f>
        <v>0</v>
      </c>
      <c r="J36" s="168"/>
      <c r="K36" s="170">
        <f>Feuil7!Z23</f>
        <v>0</v>
      </c>
      <c r="L36" s="170">
        <f>Feuil7!AA23</f>
        <v>0</v>
      </c>
      <c r="M36" s="170">
        <f>Feuil7!AB23</f>
        <v>0</v>
      </c>
      <c r="N36" s="261">
        <f>Feuil7!AC23</f>
        <v>0</v>
      </c>
    </row>
    <row r="37" spans="1:14" ht="12.75">
      <c r="A37" s="365">
        <f>Feuil7!K24</f>
        <v>0</v>
      </c>
      <c r="B37" s="365">
        <f>Feuil7!L24</f>
        <v>0</v>
      </c>
      <c r="C37" s="367">
        <f>Feuil7!M24</f>
        <v>0</v>
      </c>
      <c r="D37" s="261">
        <f>Feuil7!N24</f>
        <v>0</v>
      </c>
      <c r="E37" s="168"/>
      <c r="F37" s="170">
        <f>Feuil7!P24</f>
        <v>0</v>
      </c>
      <c r="G37" s="169">
        <f>Feuil7!Q24</f>
        <v>0</v>
      </c>
      <c r="H37" s="170">
        <f>Feuil7!R24</f>
        <v>0</v>
      </c>
      <c r="I37" s="261">
        <f>Feuil7!S22</f>
        <v>0</v>
      </c>
      <c r="J37" s="168"/>
      <c r="K37" s="170">
        <f>Feuil7!Z24</f>
        <v>0</v>
      </c>
      <c r="L37" s="170">
        <f>Feuil7!AA24</f>
        <v>0</v>
      </c>
      <c r="M37" s="170">
        <f>Feuil7!AB24</f>
        <v>0</v>
      </c>
      <c r="N37" s="261">
        <f>Feuil7!AC24</f>
        <v>0</v>
      </c>
    </row>
    <row r="38" spans="1:14" ht="12.75">
      <c r="A38" s="365">
        <f>Feuil7!K25</f>
        <v>0</v>
      </c>
      <c r="B38" s="365">
        <f>Feuil7!L25</f>
        <v>0</v>
      </c>
      <c r="C38" s="367">
        <f>Feuil7!M25</f>
        <v>0</v>
      </c>
      <c r="D38" s="261">
        <f>Feuil7!N25</f>
        <v>0</v>
      </c>
      <c r="E38" s="168"/>
      <c r="F38" s="170">
        <f>Feuil7!P25</f>
        <v>0</v>
      </c>
      <c r="G38" s="169">
        <f>Feuil7!Q25</f>
        <v>0</v>
      </c>
      <c r="H38" s="170">
        <f>Feuil7!R25</f>
        <v>0</v>
      </c>
      <c r="I38" s="261">
        <f>Feuil7!S23</f>
        <v>0</v>
      </c>
      <c r="J38" s="168"/>
      <c r="K38" s="170">
        <f>Feuil7!Z25</f>
        <v>0</v>
      </c>
      <c r="L38" s="170">
        <f>Feuil7!AA25</f>
        <v>0</v>
      </c>
      <c r="M38" s="170">
        <f>Feuil7!AB25</f>
        <v>0</v>
      </c>
      <c r="N38" s="261">
        <f>Feuil7!AC25</f>
        <v>0</v>
      </c>
    </row>
    <row r="39" spans="1:14" ht="12.75">
      <c r="A39" s="365">
        <f>Feuil7!K26</f>
        <v>0</v>
      </c>
      <c r="B39" s="365">
        <f>Feuil7!L26</f>
        <v>0</v>
      </c>
      <c r="C39" s="367">
        <f>Feuil7!M26</f>
        <v>0</v>
      </c>
      <c r="D39" s="261">
        <f>Feuil7!N26</f>
        <v>0</v>
      </c>
      <c r="E39" s="168"/>
      <c r="F39" s="170">
        <f>Feuil7!P26</f>
        <v>0</v>
      </c>
      <c r="G39" s="169">
        <f>Feuil7!Q26</f>
        <v>0</v>
      </c>
      <c r="H39" s="170">
        <f>Feuil7!R26</f>
        <v>0</v>
      </c>
      <c r="I39" s="261">
        <f>Feuil7!S24</f>
        <v>0</v>
      </c>
      <c r="J39" s="168"/>
      <c r="K39" s="170">
        <f>Feuil7!Z26</f>
        <v>0</v>
      </c>
      <c r="L39" s="170">
        <f>Feuil7!AA26</f>
        <v>0</v>
      </c>
      <c r="M39" s="170">
        <f>Feuil7!AB26</f>
        <v>0</v>
      </c>
      <c r="N39" s="261">
        <f>Feuil7!AC26</f>
        <v>0</v>
      </c>
    </row>
    <row r="40" spans="1:14" ht="12.75">
      <c r="A40" s="365">
        <f>Feuil7!K27</f>
        <v>0</v>
      </c>
      <c r="B40" s="365">
        <f>Feuil7!L27</f>
        <v>0</v>
      </c>
      <c r="C40" s="367">
        <f>Feuil7!M27</f>
        <v>0</v>
      </c>
      <c r="D40" s="261">
        <f>Feuil7!N27</f>
        <v>0</v>
      </c>
      <c r="E40" s="168"/>
      <c r="F40" s="170">
        <f>Feuil7!P27</f>
        <v>0</v>
      </c>
      <c r="G40" s="169">
        <f>Feuil7!Q27</f>
        <v>0</v>
      </c>
      <c r="H40" s="170">
        <f>Feuil7!R27</f>
        <v>0</v>
      </c>
      <c r="I40" s="261">
        <f>Feuil7!S25</f>
        <v>0</v>
      </c>
      <c r="J40" s="168"/>
      <c r="K40" s="170">
        <f>Feuil7!Z27</f>
        <v>0</v>
      </c>
      <c r="L40" s="170">
        <f>Feuil7!AA27</f>
        <v>0</v>
      </c>
      <c r="M40" s="170">
        <f>Feuil7!AB27</f>
        <v>0</v>
      </c>
      <c r="N40" s="261">
        <f>Feuil7!AC27</f>
        <v>0</v>
      </c>
    </row>
    <row r="41" spans="1:14" ht="12.75">
      <c r="A41" s="365">
        <f>Feuil7!K28</f>
        <v>0</v>
      </c>
      <c r="B41" s="365">
        <f>Feuil7!L28</f>
        <v>0</v>
      </c>
      <c r="C41" s="367">
        <f>Feuil7!M28</f>
        <v>0</v>
      </c>
      <c r="D41" s="261">
        <f>Feuil7!N28</f>
        <v>0</v>
      </c>
      <c r="E41" s="168"/>
      <c r="F41" s="170">
        <f>Feuil7!P28</f>
        <v>0</v>
      </c>
      <c r="G41" s="169">
        <f>Feuil7!Q28</f>
        <v>0</v>
      </c>
      <c r="H41" s="170">
        <f>Feuil7!R28</f>
        <v>0</v>
      </c>
      <c r="I41" s="261">
        <f>Feuil7!S26</f>
        <v>0</v>
      </c>
      <c r="J41" s="168"/>
      <c r="K41" s="170">
        <f>Feuil7!Z28</f>
        <v>0</v>
      </c>
      <c r="L41" s="170">
        <f>Feuil7!AA28</f>
        <v>0</v>
      </c>
      <c r="M41" s="170">
        <f>Feuil7!AB28</f>
        <v>0</v>
      </c>
      <c r="N41" s="261">
        <f>Feuil7!AC28</f>
        <v>0</v>
      </c>
    </row>
    <row r="42" spans="1:14" ht="12.75">
      <c r="A42" s="365">
        <f>Feuil7!K29</f>
        <v>0</v>
      </c>
      <c r="B42" s="365">
        <f>Feuil7!L29</f>
        <v>0</v>
      </c>
      <c r="C42" s="367">
        <f>Feuil7!M29</f>
        <v>0</v>
      </c>
      <c r="D42" s="261">
        <f>Feuil7!N29</f>
        <v>0</v>
      </c>
      <c r="E42" s="168"/>
      <c r="F42" s="170">
        <f>Feuil7!P29</f>
        <v>0</v>
      </c>
      <c r="G42" s="169">
        <f>Feuil7!Q29</f>
        <v>0</v>
      </c>
      <c r="H42" s="170">
        <f>Feuil7!R29</f>
        <v>0</v>
      </c>
      <c r="I42" s="261">
        <f>Feuil7!S27</f>
        <v>0</v>
      </c>
      <c r="J42" s="168"/>
      <c r="K42" s="170">
        <f>Feuil7!Z29</f>
        <v>0</v>
      </c>
      <c r="L42" s="170">
        <f>Feuil7!AA29</f>
        <v>0</v>
      </c>
      <c r="M42" s="170">
        <f>Feuil7!AB29</f>
        <v>0</v>
      </c>
      <c r="N42" s="261">
        <f>Feuil7!AC29</f>
        <v>0</v>
      </c>
    </row>
    <row r="43" spans="1:14" ht="12.75">
      <c r="A43" s="365">
        <f>Feuil7!K30</f>
        <v>0</v>
      </c>
      <c r="B43" s="365">
        <f>Feuil7!L30</f>
        <v>0</v>
      </c>
      <c r="C43" s="367">
        <f>Feuil7!M30</f>
        <v>0</v>
      </c>
      <c r="D43" s="261"/>
      <c r="E43" s="168"/>
      <c r="F43" s="170">
        <f>Feuil7!P30</f>
        <v>0</v>
      </c>
      <c r="G43" s="169">
        <f>Feuil7!Q30</f>
        <v>0</v>
      </c>
      <c r="H43" s="170"/>
      <c r="I43" s="261">
        <f>Feuil7!S28</f>
        <v>0</v>
      </c>
      <c r="J43" s="168"/>
      <c r="K43" s="170">
        <f>Feuil7!Z30</f>
        <v>0</v>
      </c>
      <c r="L43" s="170"/>
      <c r="M43" s="170">
        <f>Feuil7!AB30</f>
        <v>0</v>
      </c>
      <c r="N43" s="261"/>
    </row>
    <row r="44" spans="1:14" ht="12.75">
      <c r="A44" s="365">
        <f>Feuil7!K31</f>
        <v>0</v>
      </c>
      <c r="B44" s="365">
        <f>Feuil7!L31</f>
        <v>0</v>
      </c>
      <c r="C44" s="367">
        <f>Feuil7!M31</f>
        <v>0</v>
      </c>
      <c r="D44" s="261"/>
      <c r="E44" s="168"/>
      <c r="F44" s="170">
        <f>Feuil7!P31</f>
        <v>0</v>
      </c>
      <c r="G44" s="169">
        <f>Feuil7!Q31</f>
        <v>0</v>
      </c>
      <c r="H44" s="170"/>
      <c r="I44" s="261">
        <f>Feuil7!S29</f>
        <v>0</v>
      </c>
      <c r="J44" s="168"/>
      <c r="K44" s="170">
        <f>Feuil7!Z31</f>
        <v>0</v>
      </c>
      <c r="L44" s="170"/>
      <c r="M44" s="170">
        <f>Feuil7!AB31</f>
        <v>0</v>
      </c>
      <c r="N44" s="261"/>
    </row>
    <row r="45" spans="1:14" ht="12.75">
      <c r="A45" s="365">
        <f>Feuil7!K32</f>
        <v>0</v>
      </c>
      <c r="B45" s="365">
        <f>Feuil7!L32</f>
        <v>0</v>
      </c>
      <c r="C45" s="367">
        <f>Feuil7!M32</f>
        <v>0</v>
      </c>
      <c r="D45" s="261"/>
      <c r="E45" s="168"/>
      <c r="F45" s="170">
        <f>Feuil7!P32</f>
        <v>0</v>
      </c>
      <c r="G45" s="169">
        <f>Feuil7!Q32</f>
        <v>0</v>
      </c>
      <c r="H45" s="170"/>
      <c r="I45" s="261">
        <f>Feuil7!S30</f>
        <v>0</v>
      </c>
      <c r="J45" s="168"/>
      <c r="K45" s="170">
        <f>Feuil7!Z32</f>
        <v>0</v>
      </c>
      <c r="L45" s="170"/>
      <c r="M45" s="170">
        <f>Feuil7!AB32</f>
        <v>0</v>
      </c>
      <c r="N45" s="261"/>
    </row>
    <row r="46" spans="1:14" ht="12.75">
      <c r="A46" s="365">
        <f>Feuil7!K33</f>
        <v>0</v>
      </c>
      <c r="B46" s="365">
        <f>Feuil7!L33</f>
        <v>0</v>
      </c>
      <c r="C46" s="367">
        <f>Feuil7!M33</f>
        <v>0</v>
      </c>
      <c r="D46" s="261">
        <f>Feuil7!N33</f>
        <v>0</v>
      </c>
      <c r="E46" s="168"/>
      <c r="F46" s="170">
        <f>Feuil7!P33</f>
        <v>0</v>
      </c>
      <c r="G46" s="169">
        <f>Feuil7!Q33</f>
        <v>0</v>
      </c>
      <c r="H46" s="170">
        <f>Feuil7!R33</f>
        <v>0</v>
      </c>
      <c r="I46" s="261">
        <f>Feuil7!S31</f>
        <v>0</v>
      </c>
      <c r="J46" s="168"/>
      <c r="K46" s="170">
        <f>Feuil7!Z33</f>
        <v>0</v>
      </c>
      <c r="L46" s="170">
        <f>Feuil7!AA33</f>
        <v>0</v>
      </c>
      <c r="M46" s="170">
        <f>Feuil7!AB33</f>
        <v>0</v>
      </c>
      <c r="N46" s="261">
        <f>Feuil7!AC33</f>
        <v>0</v>
      </c>
    </row>
    <row r="47" spans="1:14" ht="12.75">
      <c r="A47" s="365">
        <f>Feuil7!K34</f>
        <v>0</v>
      </c>
      <c r="B47" s="365">
        <f>Feuil7!L34</f>
        <v>0</v>
      </c>
      <c r="C47" s="367">
        <f>Feuil7!M34</f>
        <v>0</v>
      </c>
      <c r="D47" s="261">
        <f>Feuil7!N34</f>
        <v>0</v>
      </c>
      <c r="E47" s="168"/>
      <c r="F47" s="170">
        <f>Feuil7!P34</f>
        <v>0</v>
      </c>
      <c r="G47" s="169">
        <f>Feuil7!Q34</f>
        <v>0</v>
      </c>
      <c r="H47" s="170">
        <f>Feuil7!R34</f>
        <v>0</v>
      </c>
      <c r="I47" s="261">
        <f>Feuil7!S32</f>
        <v>0</v>
      </c>
      <c r="J47" s="168"/>
      <c r="K47" s="170">
        <f>Feuil7!Z34</f>
        <v>0</v>
      </c>
      <c r="L47" s="170">
        <f>Feuil7!AA34</f>
        <v>0</v>
      </c>
      <c r="M47" s="170">
        <f>Feuil7!AB34</f>
        <v>0</v>
      </c>
      <c r="N47" s="261">
        <f>Feuil7!AC34</f>
        <v>0</v>
      </c>
    </row>
    <row r="48" spans="1:14" ht="12.75">
      <c r="A48" s="365">
        <f>Feuil7!K35</f>
        <v>0</v>
      </c>
      <c r="B48" s="365">
        <f>Feuil7!L35</f>
        <v>0</v>
      </c>
      <c r="C48" s="367">
        <f>Feuil7!M35</f>
        <v>0</v>
      </c>
      <c r="D48" s="261">
        <f>Feuil7!N35</f>
        <v>0</v>
      </c>
      <c r="E48" s="168"/>
      <c r="F48" s="170">
        <f>Feuil7!P35</f>
        <v>0</v>
      </c>
      <c r="G48" s="169">
        <f>Feuil7!Q35</f>
        <v>0</v>
      </c>
      <c r="H48" s="170">
        <f>Feuil7!R35</f>
        <v>0</v>
      </c>
      <c r="I48" s="261">
        <f>Feuil7!S33</f>
        <v>0</v>
      </c>
      <c r="J48" s="168"/>
      <c r="K48" s="170">
        <f>Feuil7!Z35</f>
        <v>0</v>
      </c>
      <c r="L48" s="170">
        <f>Feuil7!AA35</f>
        <v>0</v>
      </c>
      <c r="M48" s="170">
        <f>Feuil7!AB35</f>
        <v>0</v>
      </c>
      <c r="N48" s="261">
        <f>Feuil7!AC35</f>
        <v>0</v>
      </c>
    </row>
    <row r="49" spans="1:14" ht="12.75">
      <c r="A49" s="365">
        <f>Feuil7!K36</f>
        <v>0</v>
      </c>
      <c r="B49" s="365">
        <f>Feuil7!L36</f>
        <v>0</v>
      </c>
      <c r="C49" s="367">
        <f>Feuil7!M36</f>
        <v>0</v>
      </c>
      <c r="D49" s="261">
        <f>Feuil7!N36</f>
        <v>0</v>
      </c>
      <c r="E49" s="168"/>
      <c r="F49" s="170">
        <f>Feuil7!P36</f>
        <v>0</v>
      </c>
      <c r="G49" s="169">
        <f>Feuil7!Q36</f>
        <v>0</v>
      </c>
      <c r="H49" s="170">
        <f>Feuil7!R36</f>
        <v>0</v>
      </c>
      <c r="I49" s="261">
        <f>Feuil7!S34</f>
        <v>0</v>
      </c>
      <c r="J49" s="168"/>
      <c r="K49" s="170">
        <f>Feuil7!Z36</f>
        <v>0</v>
      </c>
      <c r="L49" s="170">
        <f>Feuil7!AA36</f>
        <v>0</v>
      </c>
      <c r="M49" s="170">
        <f>Feuil7!AB36</f>
        <v>0</v>
      </c>
      <c r="N49" s="261">
        <f>Feuil7!AC36</f>
        <v>0</v>
      </c>
    </row>
    <row r="50" spans="1:14" ht="12.75">
      <c r="A50" s="365">
        <f>Feuil7!K37</f>
        <v>0</v>
      </c>
      <c r="B50" s="365">
        <f>Feuil7!L37</f>
        <v>0</v>
      </c>
      <c r="C50" s="367">
        <f>Feuil7!M37</f>
        <v>0</v>
      </c>
      <c r="D50" s="261">
        <f>Feuil7!N37</f>
        <v>0</v>
      </c>
      <c r="E50" s="168"/>
      <c r="F50" s="170">
        <f>Feuil7!P37</f>
        <v>0</v>
      </c>
      <c r="G50" s="169">
        <f>Feuil7!Q37</f>
        <v>0</v>
      </c>
      <c r="H50" s="170">
        <f>Feuil7!R37</f>
        <v>0</v>
      </c>
      <c r="I50" s="261">
        <f>Feuil7!S35</f>
        <v>0</v>
      </c>
      <c r="J50" s="168"/>
      <c r="K50" s="170">
        <f>Feuil7!Z37</f>
        <v>0</v>
      </c>
      <c r="L50" s="170">
        <f>Feuil7!AA37</f>
        <v>0</v>
      </c>
      <c r="M50" s="170">
        <f>Feuil7!AB37</f>
        <v>0</v>
      </c>
      <c r="N50" s="261">
        <f>Feuil7!AC37</f>
        <v>0</v>
      </c>
    </row>
    <row r="51" spans="1:14" ht="12.75">
      <c r="A51" s="365">
        <f>Feuil7!K38</f>
        <v>0</v>
      </c>
      <c r="B51" s="365">
        <f>Feuil7!L38</f>
        <v>0</v>
      </c>
      <c r="C51" s="367">
        <f>Feuil7!M38</f>
        <v>0</v>
      </c>
      <c r="D51" s="261">
        <f>Feuil7!N38</f>
        <v>0</v>
      </c>
      <c r="E51" s="168"/>
      <c r="F51" s="170">
        <f>Feuil7!P38</f>
        <v>0</v>
      </c>
      <c r="G51" s="169">
        <f>Feuil7!Q38</f>
        <v>0</v>
      </c>
      <c r="H51" s="170">
        <f>Feuil7!R38</f>
        <v>0</v>
      </c>
      <c r="I51" s="261">
        <f>Feuil7!S36</f>
        <v>0</v>
      </c>
      <c r="J51" s="168"/>
      <c r="K51" s="170">
        <f>Feuil7!Z38</f>
        <v>0</v>
      </c>
      <c r="L51" s="170">
        <f>Feuil7!AA38</f>
        <v>0</v>
      </c>
      <c r="M51" s="170">
        <f>Feuil7!AB38</f>
        <v>0</v>
      </c>
      <c r="N51" s="261">
        <f>Feuil7!AC38</f>
        <v>0</v>
      </c>
    </row>
    <row r="52" spans="1:14" ht="12.75">
      <c r="A52" s="379"/>
      <c r="B52" s="366"/>
      <c r="C52" s="132"/>
      <c r="D52" s="261"/>
      <c r="E52" s="168"/>
      <c r="F52" s="170">
        <f>Feuil7!P39</f>
        <v>0</v>
      </c>
      <c r="G52" s="169"/>
      <c r="H52" s="170">
        <f>Feuil7!R39</f>
        <v>0</v>
      </c>
      <c r="I52" s="261"/>
      <c r="J52" s="168"/>
      <c r="K52" s="170">
        <f>Feuil7!Z39</f>
        <v>0</v>
      </c>
      <c r="L52" s="170"/>
      <c r="M52" s="170">
        <f>Feuil7!AB39</f>
        <v>0</v>
      </c>
      <c r="N52" s="261"/>
    </row>
    <row r="53" spans="1:14" ht="12.75">
      <c r="A53" s="379">
        <f>Feuil7!K40</f>
        <v>0</v>
      </c>
      <c r="B53" s="132"/>
      <c r="C53" s="132"/>
      <c r="D53" s="133"/>
      <c r="E53" s="168"/>
      <c r="F53" s="132"/>
      <c r="G53" s="132"/>
      <c r="H53" s="132"/>
      <c r="I53" s="133">
        <f>G53*H53</f>
        <v>0</v>
      </c>
      <c r="J53" s="168"/>
      <c r="K53" s="170">
        <f>Feuil7!Z40</f>
        <v>0</v>
      </c>
      <c r="L53" s="170">
        <f>Feuil7!AA40</f>
        <v>0</v>
      </c>
      <c r="M53" s="170">
        <f>Feuil7!AB40</f>
        <v>0</v>
      </c>
      <c r="N53" s="261">
        <f>Feuil7!AC40</f>
        <v>0</v>
      </c>
    </row>
    <row r="54" spans="1:14" ht="12.75">
      <c r="A54" s="134" t="s">
        <v>124</v>
      </c>
      <c r="B54" s="134"/>
      <c r="C54" s="134"/>
      <c r="D54" s="133"/>
      <c r="E54" s="168"/>
      <c r="F54" s="132"/>
      <c r="G54" s="132"/>
      <c r="H54" s="132"/>
      <c r="I54" s="133"/>
      <c r="J54" s="168"/>
      <c r="K54" s="132"/>
      <c r="L54" s="132"/>
      <c r="M54" s="132"/>
      <c r="N54" s="133"/>
    </row>
    <row r="55" spans="1:14" ht="12.75">
      <c r="A55" s="301" t="s">
        <v>126</v>
      </c>
      <c r="B55" s="301"/>
      <c r="C55" s="301"/>
      <c r="D55" s="133">
        <f>SUM(D22:D53)</f>
        <v>1847.6469999999997</v>
      </c>
      <c r="E55" s="168"/>
      <c r="F55" s="132"/>
      <c r="G55" s="140" t="s">
        <v>124</v>
      </c>
      <c r="H55" s="132"/>
      <c r="I55" s="136" t="e">
        <f>SUM(I22:I53)</f>
        <v>#REF!</v>
      </c>
      <c r="J55" s="168"/>
      <c r="K55" s="132"/>
      <c r="L55" s="140" t="s">
        <v>124</v>
      </c>
      <c r="M55" s="132"/>
      <c r="N55" s="136" t="e">
        <f>SUM(N22:N53)</f>
        <v>#VALUE!</v>
      </c>
    </row>
    <row r="56" spans="1:14" ht="12.7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</row>
  </sheetData>
  <mergeCells count="3">
    <mergeCell ref="A18:C18"/>
    <mergeCell ref="A19:C19"/>
    <mergeCell ref="A20:C20"/>
  </mergeCells>
  <printOptions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showZeros="0" workbookViewId="0" topLeftCell="A10">
      <selection activeCell="F34" sqref="F34"/>
    </sheetView>
  </sheetViews>
  <sheetFormatPr defaultColWidth="9.140625" defaultRowHeight="12.75"/>
  <cols>
    <col min="1" max="6" width="13.7109375" style="0" customWidth="1"/>
    <col min="7" max="16384" width="11.421875" style="0" customWidth="1"/>
  </cols>
  <sheetData>
    <row r="1" ht="12.75">
      <c r="A1" t="s">
        <v>135</v>
      </c>
    </row>
    <row r="4" spans="3:5" ht="18">
      <c r="C4" s="139"/>
      <c r="D4" s="6"/>
      <c r="E4" s="6"/>
    </row>
    <row r="8" spans="1:5" ht="12.75">
      <c r="A8" t="s">
        <v>86</v>
      </c>
      <c r="B8" s="15" t="str">
        <f>Feuil1!$G14</f>
        <v>SORMOVSKIY 3057</v>
      </c>
      <c r="D8" t="s">
        <v>87</v>
      </c>
      <c r="E8" s="18" t="str">
        <f>Feuil1!$G18</f>
        <v>Nantes</v>
      </c>
    </row>
    <row r="9" spans="1:5" ht="12.75">
      <c r="A9" t="s">
        <v>48</v>
      </c>
      <c r="B9" t="str">
        <f>Feuil1!$G15</f>
        <v>AMMONNITRATE</v>
      </c>
      <c r="D9" t="s">
        <v>88</v>
      </c>
      <c r="E9" s="267">
        <f>Feuil1!$G19</f>
        <v>36832</v>
      </c>
    </row>
    <row r="14" spans="1:4" ht="12.75">
      <c r="A14" s="141" t="s">
        <v>136</v>
      </c>
      <c r="D14" s="15"/>
    </row>
    <row r="17" spans="2:6" ht="12.75">
      <c r="B17" s="37" t="s">
        <v>137</v>
      </c>
      <c r="C17" s="19" t="s">
        <v>138</v>
      </c>
      <c r="D17" s="38" t="s">
        <v>139</v>
      </c>
      <c r="E17" s="19" t="s">
        <v>140</v>
      </c>
      <c r="F17" s="20" t="s">
        <v>141</v>
      </c>
    </row>
    <row r="18" spans="2:6" ht="12.75">
      <c r="B18" s="25" t="s">
        <v>142</v>
      </c>
      <c r="C18" s="26" t="s">
        <v>143</v>
      </c>
      <c r="D18" s="27" t="s">
        <v>144</v>
      </c>
      <c r="E18" s="26" t="s">
        <v>145</v>
      </c>
      <c r="F18" s="28" t="s">
        <v>146</v>
      </c>
    </row>
    <row r="19" spans="2:6" ht="12.75">
      <c r="B19" s="25" t="s">
        <v>147</v>
      </c>
      <c r="C19" s="26" t="s">
        <v>148</v>
      </c>
      <c r="D19" s="27" t="s">
        <v>149</v>
      </c>
      <c r="E19" s="26" t="s">
        <v>150</v>
      </c>
      <c r="F19" s="28" t="s">
        <v>151</v>
      </c>
    </row>
    <row r="20" spans="2:6" ht="12.75">
      <c r="B20" s="29"/>
      <c r="C20" s="30"/>
      <c r="D20" s="31"/>
      <c r="E20" s="30" t="s">
        <v>152</v>
      </c>
      <c r="F20" s="32" t="s">
        <v>153</v>
      </c>
    </row>
    <row r="21" spans="2:6" ht="12.75">
      <c r="B21" s="33" t="s">
        <v>154</v>
      </c>
      <c r="C21" s="34" t="s">
        <v>155</v>
      </c>
      <c r="D21" s="35" t="s">
        <v>156</v>
      </c>
      <c r="E21" s="34" t="s">
        <v>154</v>
      </c>
      <c r="F21" s="36" t="s">
        <v>157</v>
      </c>
    </row>
    <row r="24" spans="1:6" ht="12.75">
      <c r="A24" s="302" t="s">
        <v>158</v>
      </c>
      <c r="B24" s="86">
        <f>Feuil3!$F54</f>
        <v>4.046434013429752</v>
      </c>
      <c r="C24" s="172">
        <f>Feuil7!B64</f>
        <v>5294.038545325413</v>
      </c>
      <c r="D24" s="173">
        <f>Feuil7!G51</f>
        <v>14.33</v>
      </c>
      <c r="E24" s="172">
        <f>Feuil7!B56</f>
        <v>2.734147210743842</v>
      </c>
      <c r="F24" s="173">
        <f>Feuil7!B61</f>
        <v>13.590000000000018</v>
      </c>
    </row>
    <row r="25" spans="1:6" ht="12.75">
      <c r="A25" s="15"/>
      <c r="B25" s="81"/>
      <c r="C25" s="174"/>
      <c r="D25" s="174"/>
      <c r="E25" s="174"/>
      <c r="F25" s="174"/>
    </row>
    <row r="26" spans="1:6" ht="12.75">
      <c r="A26" s="303" t="s">
        <v>122</v>
      </c>
      <c r="B26" s="86">
        <f>Feuil3!$G54</f>
        <v>2.94228575886708</v>
      </c>
      <c r="C26" s="172">
        <f>Feuil7!C64</f>
        <v>3730.3089187543037</v>
      </c>
      <c r="D26" s="173">
        <f>Feuil7!I51</f>
        <v>13.792285758867077</v>
      </c>
      <c r="E26" s="172">
        <f>Feuil7!C56</f>
        <v>1.425971486527196</v>
      </c>
      <c r="F26" s="173">
        <f>Feuil7!C61</f>
        <v>13.684571517734128</v>
      </c>
    </row>
    <row r="27" spans="2:6" ht="12.75">
      <c r="B27" s="81"/>
      <c r="C27" s="81"/>
      <c r="D27" s="81"/>
      <c r="E27" s="81"/>
      <c r="F27" s="81"/>
    </row>
    <row r="28" spans="2:6" ht="12.75">
      <c r="B28" s="81"/>
      <c r="C28" s="81"/>
      <c r="D28" s="81"/>
      <c r="E28" s="81"/>
      <c r="F28" s="81"/>
    </row>
    <row r="29" spans="2:6" ht="12.75">
      <c r="B29" s="86">
        <f>B24+0.5</f>
        <v>4.546434013429752</v>
      </c>
      <c r="C29" s="86"/>
      <c r="D29" s="86"/>
      <c r="E29" s="86"/>
      <c r="F29" s="89">
        <f>Feuil7!G65</f>
        <v>128.05</v>
      </c>
    </row>
    <row r="30" spans="2:6" ht="12.75">
      <c r="B30" s="81"/>
      <c r="C30" s="81"/>
      <c r="D30" s="81"/>
      <c r="E30" s="81"/>
      <c r="F30" s="81"/>
    </row>
    <row r="31" spans="2:6" ht="12.75">
      <c r="B31" s="89">
        <f>Feuil7!G7</f>
        <v>3.89</v>
      </c>
      <c r="C31" s="89">
        <f>Feuil7!G54</f>
        <v>5068.93</v>
      </c>
      <c r="D31" s="89">
        <f>Feuil7!G47</f>
        <v>14.33</v>
      </c>
      <c r="E31" s="279">
        <f>Feuil7!G14</f>
        <v>53.641</v>
      </c>
      <c r="F31" s="86"/>
    </row>
    <row r="32" spans="2:6" ht="12.75">
      <c r="B32" s="89">
        <f>Feuil7!G8</f>
        <v>3.88</v>
      </c>
      <c r="C32" s="89">
        <f>Feuil7!G55</f>
        <v>5054.54</v>
      </c>
      <c r="D32" s="89">
        <f>Feuil7!G48</f>
        <v>14.33</v>
      </c>
      <c r="E32" s="279">
        <f>Feuil7!G15</f>
        <v>53.649</v>
      </c>
      <c r="F32" s="86"/>
    </row>
    <row r="33" spans="2:6" ht="12.75">
      <c r="B33" s="81"/>
      <c r="C33" s="81"/>
      <c r="D33" s="81"/>
      <c r="E33" s="81"/>
      <c r="F33" s="81"/>
    </row>
    <row r="34" spans="2:6" ht="12.75">
      <c r="B34" s="86">
        <f>B24-0.5</f>
        <v>3.546434013429752</v>
      </c>
      <c r="C34" s="86"/>
      <c r="D34" s="86"/>
      <c r="E34" s="86"/>
      <c r="F34" s="89">
        <f>Feuil7!G72</f>
        <v>114.46</v>
      </c>
    </row>
    <row r="35" spans="2:6" ht="12.75">
      <c r="B35" s="81"/>
      <c r="C35" s="81"/>
      <c r="D35" s="81"/>
      <c r="E35" s="81"/>
      <c r="F35" s="81"/>
    </row>
    <row r="36" spans="2:6" ht="12.75">
      <c r="B36" s="81"/>
      <c r="C36" s="81"/>
      <c r="D36" s="81"/>
      <c r="E36" s="81"/>
      <c r="F36" s="90"/>
    </row>
    <row r="37" spans="2:6" ht="12.75">
      <c r="B37" s="86">
        <f>B26+0.5</f>
        <v>3.44228575886708</v>
      </c>
      <c r="C37" s="86"/>
      <c r="D37" s="86"/>
      <c r="E37" s="86"/>
      <c r="F37" s="89">
        <f>Feuil7!I65</f>
        <v>115.3020006241391</v>
      </c>
    </row>
    <row r="38" spans="2:6" ht="12.75">
      <c r="B38" s="81"/>
      <c r="C38" s="81"/>
      <c r="D38" s="81"/>
      <c r="E38" s="81"/>
      <c r="F38" s="81"/>
    </row>
    <row r="39" spans="2:6" ht="12.75">
      <c r="B39" s="89">
        <f>Feuil7!I7</f>
        <v>2.9</v>
      </c>
      <c r="C39" s="89">
        <f>Feuil7!I54</f>
        <v>3671.87</v>
      </c>
      <c r="D39" s="89">
        <f>Feuil7!I47</f>
        <v>13.75</v>
      </c>
      <c r="E39" s="279">
        <f>Feuil7!I14</f>
        <v>54.879</v>
      </c>
      <c r="F39" s="86"/>
    </row>
    <row r="40" spans="2:6" ht="12.75">
      <c r="B40" s="89">
        <f>Feuil7!I8</f>
        <v>2.91</v>
      </c>
      <c r="C40" s="89">
        <f>Feuil7!I55</f>
        <v>3685.69</v>
      </c>
      <c r="D40" s="89">
        <f>Feuil7!I48</f>
        <v>13.76</v>
      </c>
      <c r="E40" s="279">
        <f>Feuil7!I15</f>
        <v>54.866</v>
      </c>
      <c r="F40" s="86"/>
    </row>
    <row r="41" spans="2:6" ht="12.75">
      <c r="B41" s="81"/>
      <c r="C41" s="81"/>
      <c r="D41" s="81"/>
      <c r="E41" s="81"/>
      <c r="F41" s="81"/>
    </row>
    <row r="42" spans="2:6" ht="12.75">
      <c r="B42" s="86">
        <f>B26-0.5</f>
        <v>2.44228575886708</v>
      </c>
      <c r="C42" s="86"/>
      <c r="D42" s="86"/>
      <c r="E42" s="86"/>
      <c r="F42" s="89">
        <f>Feuil7!I72</f>
        <v>101.61742910640497</v>
      </c>
    </row>
    <row r="43" spans="2:6" ht="12.75">
      <c r="B43" s="73"/>
      <c r="C43" s="73"/>
      <c r="D43" s="73"/>
      <c r="E43" s="73"/>
      <c r="F43" s="73"/>
    </row>
    <row r="44" spans="2:6" ht="12.75">
      <c r="B44" s="73"/>
      <c r="C44" s="73"/>
      <c r="D44" s="73"/>
      <c r="E44" s="73"/>
      <c r="F44" s="73"/>
    </row>
    <row r="45" spans="2:6" ht="12.75">
      <c r="B45" s="73"/>
      <c r="C45" s="73"/>
      <c r="D45" s="304" t="s">
        <v>159</v>
      </c>
      <c r="E45" s="73"/>
      <c r="F45" s="73"/>
    </row>
    <row r="46" spans="1:6" ht="12.75">
      <c r="A46" s="146"/>
      <c r="B46" s="73"/>
      <c r="C46" s="73"/>
      <c r="D46" s="81" t="s">
        <v>160</v>
      </c>
      <c r="E46" s="73"/>
      <c r="F46" s="73"/>
    </row>
    <row r="47" spans="1:6" ht="12.75">
      <c r="A47" s="147"/>
      <c r="B47" s="73"/>
      <c r="C47" s="73"/>
      <c r="E47" s="73"/>
      <c r="F47" s="73"/>
    </row>
    <row r="48" spans="2:6" ht="12.75">
      <c r="B48" s="73"/>
      <c r="C48" s="73"/>
      <c r="D48" s="73"/>
      <c r="E48" s="73"/>
      <c r="F48" s="73"/>
    </row>
    <row r="49" spans="2:6" ht="12.75">
      <c r="B49" s="73"/>
      <c r="C49" s="73"/>
      <c r="D49" s="73"/>
      <c r="E49" s="305" t="s">
        <v>158</v>
      </c>
      <c r="F49" s="305" t="s">
        <v>122</v>
      </c>
    </row>
    <row r="50" spans="2:6" ht="12.75">
      <c r="B50" s="73"/>
      <c r="C50" s="73"/>
      <c r="D50" s="73"/>
      <c r="E50" s="144" t="s">
        <v>161</v>
      </c>
      <c r="F50" s="144" t="s">
        <v>161</v>
      </c>
    </row>
    <row r="51" spans="2:6" ht="12.75">
      <c r="B51" s="73"/>
      <c r="C51" s="73"/>
      <c r="D51" s="73"/>
      <c r="E51" s="145"/>
      <c r="F51" s="145"/>
    </row>
    <row r="52" spans="2:6" ht="12.75">
      <c r="B52" s="76" t="s">
        <v>162</v>
      </c>
      <c r="C52" s="71"/>
      <c r="D52" s="71"/>
      <c r="E52" s="72">
        <f>(100*E24*Feuil3!$F40*D24)/Feuil2!$G7</f>
        <v>17.80924069543604</v>
      </c>
      <c r="F52" s="72">
        <f>(100*E26*Feuil3!$G40*D26)/Feuil2!$G7</f>
        <v>39.18581695064565</v>
      </c>
    </row>
    <row r="53" spans="2:6" ht="12.75">
      <c r="B53" s="73"/>
      <c r="C53" s="73"/>
      <c r="D53" s="73"/>
      <c r="E53" s="73"/>
      <c r="F53" s="73"/>
    </row>
    <row r="54" spans="2:6" ht="12.75">
      <c r="B54" s="76" t="s">
        <v>163</v>
      </c>
      <c r="C54" s="71"/>
      <c r="D54" s="71"/>
      <c r="E54" s="72">
        <f>(50*F24*Feuil3!$F40*Feuil3!$F40)/Feuil2!$G7</f>
        <v>1.5794163223140538</v>
      </c>
      <c r="F54" s="75">
        <f>(50*F26*Feuil3!$G40*Feuil3!$G40)/Feuil2!$G7</f>
        <v>30.557467952936225</v>
      </c>
    </row>
    <row r="55" spans="2:6" ht="12.75">
      <c r="B55" s="73"/>
      <c r="C55" s="73"/>
      <c r="D55" s="73"/>
      <c r="E55" s="73"/>
      <c r="F55" s="73"/>
    </row>
    <row r="56" spans="2:6" ht="12.75">
      <c r="B56" s="76" t="s">
        <v>164</v>
      </c>
      <c r="C56" s="71"/>
      <c r="D56" s="71"/>
      <c r="E56" s="72">
        <f>E52+E54</f>
        <v>19.38865701775009</v>
      </c>
      <c r="F56" s="72">
        <f>F52+F54</f>
        <v>69.74328490358188</v>
      </c>
    </row>
    <row r="59" ht="12.75">
      <c r="B59" s="282"/>
    </row>
  </sheetData>
  <printOptions/>
  <pageMargins left="0.7874015748031497" right="0.5905511811023623" top="0.984251968503937" bottom="0.984251968503937" header="0.5118110236220472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showZeros="0" workbookViewId="0" topLeftCell="A27">
      <selection activeCell="E37" sqref="E37"/>
    </sheetView>
  </sheetViews>
  <sheetFormatPr defaultColWidth="9.140625" defaultRowHeight="12.75"/>
  <cols>
    <col min="1" max="5" width="15.7109375" style="0" customWidth="1"/>
    <col min="6" max="16384" width="11.421875" style="0" customWidth="1"/>
  </cols>
  <sheetData>
    <row r="1" ht="12.75">
      <c r="A1" t="s">
        <v>165</v>
      </c>
    </row>
    <row r="4" spans="2:4" ht="18">
      <c r="B4" s="6"/>
      <c r="C4" s="139"/>
      <c r="D4" s="6"/>
    </row>
    <row r="8" spans="1:5" ht="12.75">
      <c r="A8" s="163" t="s">
        <v>166</v>
      </c>
      <c r="B8" s="148" t="str">
        <f>Feuil1!$G14</f>
        <v>SORMOVSKIY 3057</v>
      </c>
      <c r="D8" t="s">
        <v>87</v>
      </c>
      <c r="E8" t="str">
        <f>Feuil1!$G18</f>
        <v>Nantes</v>
      </c>
    </row>
    <row r="9" spans="1:5" ht="12.75">
      <c r="A9" s="163" t="s">
        <v>167</v>
      </c>
      <c r="B9" t="str">
        <f>Feuil1!$G15</f>
        <v>AMMONNITRATE</v>
      </c>
      <c r="D9" t="s">
        <v>88</v>
      </c>
      <c r="E9" s="274">
        <f>Feuil1!$G19</f>
        <v>36832</v>
      </c>
    </row>
    <row r="12" ht="12.75">
      <c r="A12" s="143" t="s">
        <v>168</v>
      </c>
    </row>
    <row r="14" spans="2:5" ht="12.75">
      <c r="B14" s="40" t="s">
        <v>169</v>
      </c>
      <c r="C14" s="46" t="s">
        <v>170</v>
      </c>
      <c r="D14" s="41" t="s">
        <v>171</v>
      </c>
      <c r="E14" s="46" t="s">
        <v>169</v>
      </c>
    </row>
    <row r="15" spans="2:5" ht="12.75">
      <c r="B15" s="42" t="s">
        <v>158</v>
      </c>
      <c r="C15" s="47"/>
      <c r="D15" s="43" t="s">
        <v>172</v>
      </c>
      <c r="E15" s="47" t="s">
        <v>122</v>
      </c>
    </row>
    <row r="16" spans="2:5" ht="12.75">
      <c r="B16" s="44" t="s">
        <v>161</v>
      </c>
      <c r="C16" s="21" t="s">
        <v>161</v>
      </c>
      <c r="D16" s="45" t="s">
        <v>161</v>
      </c>
      <c r="E16" s="21" t="s">
        <v>161</v>
      </c>
    </row>
    <row r="18" spans="1:5" ht="12.75">
      <c r="A18" s="306" t="s">
        <v>173</v>
      </c>
      <c r="B18" s="71" t="e">
        <f>Feuil4!$I55</f>
        <v>#REF!</v>
      </c>
      <c r="C18" s="72" t="e">
        <f>IF(E18-B18&lt;0,"",E18-B18)</f>
        <v>#VALUE!</v>
      </c>
      <c r="D18" s="71" t="e">
        <f>IF(B18-E18&lt;0,"",B18-E18)</f>
        <v>#REF!</v>
      </c>
      <c r="E18" s="72" t="e">
        <f>Feuil4!$N55</f>
        <v>#VALUE!</v>
      </c>
    </row>
    <row r="19" spans="1:5" ht="12.75">
      <c r="A19" s="186" t="s">
        <v>174</v>
      </c>
      <c r="B19" s="92">
        <f>Feuil7!S45</f>
        <v>77.5</v>
      </c>
      <c r="C19" s="72">
        <f>IF(E19-B19&lt;0,"",E19-B19)</f>
      </c>
      <c r="D19" s="71">
        <f>IF(B19-E19&lt;0,"",B19-E19)</f>
        <v>2</v>
      </c>
      <c r="E19" s="91">
        <f>Feuil7!AC47</f>
        <v>75.5</v>
      </c>
    </row>
    <row r="20" spans="1:5" ht="12.75">
      <c r="A20" s="306" t="s">
        <v>175</v>
      </c>
      <c r="B20" s="85">
        <f>Feuil7!S50</f>
        <v>0</v>
      </c>
      <c r="C20" s="72">
        <f>B20-D20</f>
        <v>0</v>
      </c>
      <c r="D20" s="71"/>
      <c r="E20" s="84">
        <f>Feuil7!AC52</f>
        <v>0</v>
      </c>
    </row>
    <row r="21" spans="1:5" ht="12.75">
      <c r="A21" s="186" t="s">
        <v>176</v>
      </c>
      <c r="B21" s="92">
        <f>Feuil7!S51</f>
        <v>12</v>
      </c>
      <c r="C21" s="72"/>
      <c r="D21" s="71">
        <f>B21-E21</f>
        <v>-47</v>
      </c>
      <c r="E21" s="91">
        <f>Feuil7!AC53</f>
        <v>59</v>
      </c>
    </row>
    <row r="22" spans="1:5" ht="12.75">
      <c r="A22" s="306" t="s">
        <v>177</v>
      </c>
      <c r="B22" s="85">
        <f>Feuil7!S52</f>
        <v>1.98</v>
      </c>
      <c r="C22" s="72">
        <f>E22-B22</f>
        <v>0</v>
      </c>
      <c r="D22" s="71"/>
      <c r="E22" s="84">
        <f>Feuil7!AC54</f>
        <v>1.98</v>
      </c>
    </row>
    <row r="23" spans="1:5" ht="12.75">
      <c r="A23" s="186" t="s">
        <v>178</v>
      </c>
      <c r="B23" s="92">
        <f>Feuil7!S53</f>
        <v>0.55</v>
      </c>
      <c r="C23" s="72">
        <f>E23-B23</f>
        <v>0.44999999999999996</v>
      </c>
      <c r="D23" s="71"/>
      <c r="E23" s="91">
        <f>Feuil7!AC55</f>
        <v>1</v>
      </c>
    </row>
    <row r="24" spans="1:5" ht="12.75">
      <c r="A24" s="306" t="s">
        <v>179</v>
      </c>
      <c r="B24" s="85"/>
      <c r="C24" s="72"/>
      <c r="D24" s="71"/>
      <c r="E24" s="84"/>
    </row>
    <row r="25" spans="1:5" ht="12.75">
      <c r="A25" s="306" t="s">
        <v>180</v>
      </c>
      <c r="B25" s="71" t="e">
        <f>SUM(B18:B24)</f>
        <v>#REF!</v>
      </c>
      <c r="C25" s="72" t="e">
        <f>SUM(C18:C24)</f>
        <v>#VALUE!</v>
      </c>
      <c r="D25" s="72" t="e">
        <f>SUM(D18:D24)</f>
        <v>#REF!</v>
      </c>
      <c r="E25" s="72" t="e">
        <f>SUM(E18:E24)</f>
        <v>#VALUE!</v>
      </c>
    </row>
    <row r="26" spans="2:5" ht="12.75">
      <c r="B26" s="73"/>
      <c r="C26" s="73"/>
      <c r="D26" s="73"/>
      <c r="E26" s="73"/>
    </row>
    <row r="27" spans="2:5" ht="12.75">
      <c r="B27" s="73"/>
      <c r="C27" s="73"/>
      <c r="D27" s="73"/>
      <c r="E27" s="73"/>
    </row>
    <row r="28" spans="2:5" ht="12.75">
      <c r="B28" s="73"/>
      <c r="C28" s="73"/>
      <c r="D28" s="73"/>
      <c r="E28" s="73"/>
    </row>
    <row r="29" spans="1:5" ht="12.75">
      <c r="A29" s="146" t="s">
        <v>181</v>
      </c>
      <c r="B29" s="73"/>
      <c r="D29" s="73"/>
      <c r="E29" s="73"/>
    </row>
    <row r="30" spans="2:5" ht="12.75">
      <c r="B30" s="73"/>
      <c r="C30" s="73"/>
      <c r="D30" s="73"/>
      <c r="E30" s="73"/>
    </row>
    <row r="31" spans="2:5" ht="12.75">
      <c r="B31" s="73"/>
      <c r="C31" s="73"/>
      <c r="D31" s="307" t="s">
        <v>158</v>
      </c>
      <c r="E31" s="308" t="s">
        <v>122</v>
      </c>
    </row>
    <row r="32" spans="2:5" ht="12.75">
      <c r="B32" s="73"/>
      <c r="C32" s="73"/>
      <c r="D32" s="73"/>
      <c r="E32" s="73"/>
    </row>
    <row r="33" spans="1:5" ht="12.75">
      <c r="A33" s="3" t="s">
        <v>182</v>
      </c>
      <c r="B33" s="71"/>
      <c r="C33" s="75"/>
      <c r="D33" s="76">
        <f>Feuil3!$F54</f>
        <v>4.046434013429752</v>
      </c>
      <c r="E33" s="72">
        <f>Feuil3!$G54</f>
        <v>2.94228575886708</v>
      </c>
    </row>
    <row r="34" spans="1:5" ht="12.75">
      <c r="A34" s="10" t="s">
        <v>183</v>
      </c>
      <c r="B34" s="77"/>
      <c r="C34" s="78"/>
      <c r="D34" s="79">
        <f>Feuil5!$C24</f>
        <v>5294.038545325413</v>
      </c>
      <c r="E34" s="74">
        <f>Feuil5!$C26</f>
        <v>3730.3089187543037</v>
      </c>
    </row>
    <row r="35" spans="1:5" ht="12.75">
      <c r="A35" s="3" t="s">
        <v>184</v>
      </c>
      <c r="B35" s="71"/>
      <c r="C35" s="75"/>
      <c r="D35" s="76">
        <f>Feuil5!$E56</f>
        <v>19.38865701775009</v>
      </c>
      <c r="E35" s="72">
        <f>Feuil5!$F56</f>
        <v>69.74328490358188</v>
      </c>
    </row>
    <row r="36" spans="1:5" ht="12.75">
      <c r="A36" s="165" t="s">
        <v>185</v>
      </c>
      <c r="B36" s="77"/>
      <c r="C36" s="78"/>
      <c r="D36" s="79">
        <f>D34+D35</f>
        <v>5313.427202343163</v>
      </c>
      <c r="E36" s="74">
        <f>E34+E35</f>
        <v>3800.0522036578855</v>
      </c>
    </row>
    <row r="37" spans="1:5" ht="12.75">
      <c r="A37" s="3" t="s">
        <v>186</v>
      </c>
      <c r="B37" s="71"/>
      <c r="C37" s="75"/>
      <c r="D37" s="76" t="str">
        <f>Feuil3!$F14</f>
        <v>1.025</v>
      </c>
      <c r="E37" s="72">
        <f>Feuil3!$F15</f>
        <v>1</v>
      </c>
    </row>
    <row r="38" spans="1:5" ht="12.75">
      <c r="A38" s="10" t="s">
        <v>187</v>
      </c>
      <c r="B38" s="77"/>
      <c r="C38" s="78"/>
      <c r="D38" s="79" t="e">
        <f>D36*D37/1.025</f>
        <v>#VALUE!</v>
      </c>
      <c r="E38" s="74">
        <f>E36*E37/1.025</f>
        <v>3707.368003568669</v>
      </c>
    </row>
    <row r="39" spans="1:5" ht="12.75">
      <c r="A39" s="3" t="s">
        <v>188</v>
      </c>
      <c r="B39" s="71"/>
      <c r="C39" s="75"/>
      <c r="D39" s="76" t="e">
        <f>B25</f>
        <v>#REF!</v>
      </c>
      <c r="E39" s="72" t="e">
        <f>E25</f>
        <v>#VALUE!</v>
      </c>
    </row>
    <row r="40" spans="2:5" ht="12.75">
      <c r="B40" s="73"/>
      <c r="C40" s="73"/>
      <c r="D40" s="73"/>
      <c r="E40" s="73"/>
    </row>
    <row r="41" spans="1:5" ht="12.75">
      <c r="A41" s="3" t="s">
        <v>189</v>
      </c>
      <c r="B41" s="71"/>
      <c r="C41" s="71"/>
      <c r="D41" s="72" t="e">
        <f>D38-D39</f>
        <v>#VALUE!</v>
      </c>
      <c r="E41" s="72" t="e">
        <f>E38-E39</f>
        <v>#VALUE!</v>
      </c>
    </row>
    <row r="42" spans="2:5" ht="12.75">
      <c r="B42" s="73"/>
      <c r="C42" s="73"/>
      <c r="D42" s="73"/>
      <c r="E42" s="73"/>
    </row>
    <row r="43" spans="2:5" ht="13.5" thickBot="1">
      <c r="B43" s="73"/>
      <c r="C43" s="73"/>
      <c r="D43" s="73"/>
      <c r="E43" s="73"/>
    </row>
    <row r="44" spans="1:5" ht="13.5" thickBot="1">
      <c r="A44" s="309" t="s">
        <v>345</v>
      </c>
      <c r="B44" s="275"/>
      <c r="C44" s="275"/>
      <c r="D44" s="276" t="s">
        <v>190</v>
      </c>
      <c r="E44" s="277" t="e">
        <f>ABS(E41-D41)</f>
        <v>#VALUE!</v>
      </c>
    </row>
    <row r="45" spans="2:5" ht="12.75">
      <c r="B45" s="73"/>
      <c r="C45" s="80"/>
      <c r="D45" s="81"/>
      <c r="E45" s="73"/>
    </row>
    <row r="46" spans="1:5" ht="12.75">
      <c r="A46" s="3" t="s">
        <v>191</v>
      </c>
      <c r="B46" s="71"/>
      <c r="C46" s="71"/>
      <c r="D46" s="82" t="s">
        <v>190</v>
      </c>
      <c r="E46" s="84">
        <f>Feuil7!AF28</f>
        <v>3144.039</v>
      </c>
    </row>
    <row r="47" spans="2:5" ht="12.75">
      <c r="B47" s="73"/>
      <c r="C47" s="80"/>
      <c r="D47" s="81"/>
      <c r="E47" s="73"/>
    </row>
    <row r="48" spans="1:5" ht="12.75">
      <c r="A48" s="3" t="s">
        <v>192</v>
      </c>
      <c r="B48" s="71"/>
      <c r="C48" s="71"/>
      <c r="D48" s="82" t="s">
        <v>190</v>
      </c>
      <c r="E48" s="72" t="e">
        <f>E44-E46</f>
        <v>#VALUE!</v>
      </c>
    </row>
    <row r="49" spans="2:5" ht="12.75">
      <c r="B49" s="73"/>
      <c r="C49" s="80"/>
      <c r="D49" s="81"/>
      <c r="E49" s="73"/>
    </row>
    <row r="50" spans="1:5" ht="12.75">
      <c r="A50" s="3" t="s">
        <v>193</v>
      </c>
      <c r="B50" s="71"/>
      <c r="C50" s="71"/>
      <c r="D50" s="82" t="s">
        <v>19</v>
      </c>
      <c r="E50" s="70" t="e">
        <f>(100*E48)/E46</f>
        <v>#VALUE!</v>
      </c>
    </row>
    <row r="53" ht="12.75">
      <c r="E53" s="6"/>
    </row>
  </sheetData>
  <printOptions/>
  <pageMargins left="0.7874015748031497" right="0.5905511811023623" top="0.984251968503937" bottom="0.984251968503937" header="0.5118110236220472" footer="0.511811023622047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0"/>
  <sheetViews>
    <sheetView showZeros="0" tabSelected="1" workbookViewId="0" topLeftCell="R1">
      <selection activeCell="AD11" sqref="AD11"/>
    </sheetView>
  </sheetViews>
  <sheetFormatPr defaultColWidth="9.140625" defaultRowHeight="12.75"/>
  <cols>
    <col min="1" max="1" width="28.140625" style="0" bestFit="1" customWidth="1"/>
    <col min="2" max="2" width="20.140625" style="0" customWidth="1"/>
    <col min="3" max="3" width="20.28125" style="0" customWidth="1"/>
    <col min="4" max="4" width="2.140625" style="0" customWidth="1"/>
    <col min="5" max="5" width="19.8515625" style="0" customWidth="1"/>
    <col min="6" max="6" width="10.28125" style="0" customWidth="1"/>
    <col min="7" max="7" width="10.140625" style="0" customWidth="1"/>
    <col min="8" max="8" width="8.140625" style="0" customWidth="1"/>
    <col min="9" max="9" width="11.28125" style="0" customWidth="1"/>
    <col min="10" max="10" width="2.28125" style="0" customWidth="1"/>
    <col min="11" max="11" width="6.7109375" style="0" customWidth="1"/>
    <col min="12" max="12" width="4.8515625" style="0" customWidth="1"/>
    <col min="13" max="13" width="9.57421875" style="0" customWidth="1"/>
    <col min="14" max="14" width="11.421875" style="0" customWidth="1"/>
    <col min="15" max="15" width="1.7109375" style="0" customWidth="1"/>
    <col min="16" max="16" width="8.421875" style="0" customWidth="1"/>
    <col min="17" max="17" width="11.421875" style="0" customWidth="1"/>
    <col min="18" max="18" width="7.7109375" style="0" customWidth="1"/>
    <col min="19" max="19" width="11.421875" style="0" customWidth="1"/>
    <col min="20" max="20" width="5.00390625" style="0" customWidth="1"/>
    <col min="21" max="21" width="7.28125" style="0" customWidth="1"/>
    <col min="22" max="22" width="5.7109375" style="0" customWidth="1"/>
    <col min="23" max="23" width="8.7109375" style="0" customWidth="1"/>
    <col min="24" max="24" width="10.421875" style="0" customWidth="1"/>
    <col min="25" max="25" width="2.8515625" style="0" customWidth="1"/>
    <col min="26" max="26" width="7.28125" style="0" customWidth="1"/>
    <col min="27" max="27" width="11.421875" style="0" customWidth="1"/>
    <col min="28" max="28" width="7.57421875" style="0" customWidth="1"/>
    <col min="29" max="30" width="11.421875" style="0" customWidth="1"/>
    <col min="31" max="31" width="18.00390625" style="0" customWidth="1"/>
    <col min="32" max="32" width="17.421875" style="0" customWidth="1"/>
    <col min="33" max="33" width="17.8515625" style="0" customWidth="1"/>
    <col min="34" max="34" width="15.57421875" style="0" customWidth="1"/>
    <col min="35" max="16384" width="11.421875" style="0" customWidth="1"/>
  </cols>
  <sheetData>
    <row r="1" spans="1:34" ht="12.75">
      <c r="A1" s="335" t="s">
        <v>376</v>
      </c>
      <c r="C1" s="323" t="s">
        <v>194</v>
      </c>
      <c r="H1" s="93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E1" s="224" t="s">
        <v>195</v>
      </c>
      <c r="AF1" s="225"/>
      <c r="AG1" s="225"/>
      <c r="AH1" s="226"/>
    </row>
    <row r="2" spans="1:34" ht="12.75">
      <c r="A2" s="336"/>
      <c r="C2" s="175"/>
      <c r="F2" s="329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E2" s="227" t="s">
        <v>196</v>
      </c>
      <c r="AF2" s="390" t="str">
        <f>A1</f>
        <v>SORMOVSKIY 3057</v>
      </c>
      <c r="AG2" s="228"/>
      <c r="AH2" s="9"/>
    </row>
    <row r="3" spans="3:34" ht="12.75">
      <c r="C3" s="175"/>
      <c r="H3" s="64"/>
      <c r="P3" s="3"/>
      <c r="Q3" s="4"/>
      <c r="R3" s="176" t="s">
        <v>197</v>
      </c>
      <c r="S3" s="177"/>
      <c r="T3" s="370"/>
      <c r="U3" s="370"/>
      <c r="V3" s="370"/>
      <c r="W3" s="370"/>
      <c r="X3" s="175"/>
      <c r="Y3" s="175"/>
      <c r="Z3" s="178"/>
      <c r="AA3" s="176"/>
      <c r="AB3" s="176" t="s">
        <v>198</v>
      </c>
      <c r="AC3" s="5"/>
      <c r="AE3" s="229" t="s">
        <v>31</v>
      </c>
      <c r="AF3" s="348" t="s">
        <v>367</v>
      </c>
      <c r="AG3" s="230" t="s">
        <v>199</v>
      </c>
      <c r="AH3" s="389">
        <f>B7</f>
        <v>112.5</v>
      </c>
    </row>
    <row r="4" spans="11:34" ht="12.75">
      <c r="K4" s="360"/>
      <c r="L4" s="361" t="s">
        <v>200</v>
      </c>
      <c r="M4" s="357"/>
      <c r="N4" s="357" t="s">
        <v>201</v>
      </c>
      <c r="O4" s="180"/>
      <c r="P4" s="179" t="s">
        <v>202</v>
      </c>
      <c r="Q4" s="179" t="s">
        <v>203</v>
      </c>
      <c r="R4" s="179" t="s">
        <v>129</v>
      </c>
      <c r="S4" s="179" t="s">
        <v>204</v>
      </c>
      <c r="T4" s="359"/>
      <c r="U4" s="360"/>
      <c r="V4" s="361" t="s">
        <v>200</v>
      </c>
      <c r="W4" s="357"/>
      <c r="X4" s="357" t="s">
        <v>201</v>
      </c>
      <c r="Y4" s="357"/>
      <c r="Z4" s="179" t="s">
        <v>202</v>
      </c>
      <c r="AA4" s="179" t="s">
        <v>203</v>
      </c>
      <c r="AB4" s="179" t="s">
        <v>129</v>
      </c>
      <c r="AC4" s="179" t="s">
        <v>204</v>
      </c>
      <c r="AE4" s="229" t="s">
        <v>33</v>
      </c>
      <c r="AF4" s="348" t="s">
        <v>378</v>
      </c>
      <c r="AG4" s="230" t="s">
        <v>205</v>
      </c>
      <c r="AH4" s="388">
        <v>4.253</v>
      </c>
    </row>
    <row r="5" spans="2:34" ht="12.75">
      <c r="B5" s="369" t="s">
        <v>197</v>
      </c>
      <c r="C5" s="369" t="s">
        <v>198</v>
      </c>
      <c r="G5" s="175" t="s">
        <v>197</v>
      </c>
      <c r="H5" s="175"/>
      <c r="I5" s="175" t="s">
        <v>198</v>
      </c>
      <c r="K5" s="362"/>
      <c r="L5" s="359"/>
      <c r="M5" s="358"/>
      <c r="N5" s="358" t="s">
        <v>206</v>
      </c>
      <c r="O5" s="180"/>
      <c r="P5" s="181"/>
      <c r="Q5" s="181" t="s">
        <v>206</v>
      </c>
      <c r="R5" s="181"/>
      <c r="S5" s="181" t="s">
        <v>207</v>
      </c>
      <c r="T5" s="359"/>
      <c r="U5" s="362"/>
      <c r="V5" s="359"/>
      <c r="W5" s="358"/>
      <c r="X5" s="358" t="s">
        <v>206</v>
      </c>
      <c r="Y5" s="358"/>
      <c r="Z5" s="181"/>
      <c r="AA5" s="181" t="s">
        <v>206</v>
      </c>
      <c r="AB5" s="181"/>
      <c r="AC5" s="181" t="s">
        <v>207</v>
      </c>
      <c r="AE5" s="229" t="s">
        <v>35</v>
      </c>
      <c r="AF5" s="348" t="s">
        <v>374</v>
      </c>
      <c r="AG5" s="230" t="s">
        <v>208</v>
      </c>
      <c r="AH5" s="350">
        <v>1.763</v>
      </c>
    </row>
    <row r="6" spans="1:34" ht="12.75">
      <c r="A6" s="182" t="s">
        <v>59</v>
      </c>
      <c r="B6" s="330">
        <v>36828</v>
      </c>
      <c r="C6" s="330">
        <v>36832</v>
      </c>
      <c r="E6" s="183" t="s">
        <v>209</v>
      </c>
      <c r="F6" s="184"/>
      <c r="G6" s="185"/>
      <c r="H6" s="185"/>
      <c r="I6" s="185"/>
      <c r="K6" s="10"/>
      <c r="L6" s="6"/>
      <c r="M6" s="11"/>
      <c r="N6" s="11"/>
      <c r="P6" s="186"/>
      <c r="Q6" s="186"/>
      <c r="R6" s="186"/>
      <c r="S6" s="186"/>
      <c r="T6" s="6"/>
      <c r="U6" s="10"/>
      <c r="V6" s="6"/>
      <c r="W6" s="11"/>
      <c r="X6" s="11"/>
      <c r="Y6" s="11"/>
      <c r="Z6" s="186"/>
      <c r="AA6" s="186"/>
      <c r="AB6" s="186"/>
      <c r="AC6" s="186"/>
      <c r="AE6" s="229" t="s">
        <v>37</v>
      </c>
      <c r="AF6" s="348">
        <v>1986</v>
      </c>
      <c r="AG6" s="230" t="s">
        <v>210</v>
      </c>
      <c r="AH6" s="350">
        <v>119.2</v>
      </c>
    </row>
    <row r="7" spans="1:34" ht="12.75">
      <c r="A7" s="186" t="s">
        <v>199</v>
      </c>
      <c r="B7" s="331">
        <v>112.5</v>
      </c>
      <c r="C7" s="191">
        <f>B7</f>
        <v>112.5</v>
      </c>
      <c r="E7" t="s">
        <v>211</v>
      </c>
      <c r="F7" s="184"/>
      <c r="G7" s="340">
        <v>3.89</v>
      </c>
      <c r="H7" s="185"/>
      <c r="I7" s="340">
        <v>2.9</v>
      </c>
      <c r="K7" s="12"/>
      <c r="L7" s="2"/>
      <c r="M7" s="13"/>
      <c r="N7" s="11"/>
      <c r="P7" s="192"/>
      <c r="Q7" s="186"/>
      <c r="R7" s="192"/>
      <c r="S7" s="186"/>
      <c r="T7" s="6"/>
      <c r="U7" s="12"/>
      <c r="V7" s="2"/>
      <c r="W7" s="13"/>
      <c r="X7" s="11"/>
      <c r="Y7" s="11"/>
      <c r="Z7" s="186"/>
      <c r="AA7" s="186"/>
      <c r="AB7" s="186"/>
      <c r="AC7" s="186"/>
      <c r="AE7" s="229" t="s">
        <v>212</v>
      </c>
      <c r="AF7" s="348">
        <v>3041</v>
      </c>
      <c r="AG7" s="230" t="s">
        <v>213</v>
      </c>
      <c r="AH7" s="350">
        <v>13.2</v>
      </c>
    </row>
    <row r="8" spans="1:34" ht="12.75">
      <c r="A8" s="187" t="s">
        <v>214</v>
      </c>
      <c r="B8" s="332">
        <v>-17.05</v>
      </c>
      <c r="C8" s="332">
        <v>-17.05</v>
      </c>
      <c r="E8" t="s">
        <v>215</v>
      </c>
      <c r="F8" s="184"/>
      <c r="G8" s="340">
        <v>3.88</v>
      </c>
      <c r="H8" s="185"/>
      <c r="I8" s="340">
        <v>2.91</v>
      </c>
      <c r="J8" s="11"/>
      <c r="K8" s="11"/>
      <c r="L8" s="11"/>
      <c r="M8" s="11"/>
      <c r="N8" s="188"/>
      <c r="O8" s="189"/>
      <c r="P8" s="325"/>
      <c r="Q8" s="188"/>
      <c r="R8" s="324"/>
      <c r="S8" s="326"/>
      <c r="T8" s="371"/>
      <c r="U8" s="187"/>
      <c r="V8" s="11"/>
      <c r="W8" s="11"/>
      <c r="X8" s="188"/>
      <c r="Y8" s="188"/>
      <c r="Z8" s="188"/>
      <c r="AA8" s="188"/>
      <c r="AB8" s="188"/>
      <c r="AC8" s="188"/>
      <c r="AE8" s="229" t="s">
        <v>216</v>
      </c>
      <c r="AF8" s="348">
        <v>1204</v>
      </c>
      <c r="AG8" s="230" t="s">
        <v>217</v>
      </c>
      <c r="AH8" s="350">
        <v>6</v>
      </c>
    </row>
    <row r="9" spans="1:34" ht="12.75">
      <c r="A9" s="186" t="s">
        <v>218</v>
      </c>
      <c r="B9" s="333">
        <v>29.45</v>
      </c>
      <c r="C9" s="333">
        <v>29.45</v>
      </c>
      <c r="E9" t="s">
        <v>219</v>
      </c>
      <c r="F9" s="184"/>
      <c r="G9" s="184">
        <f>B44</f>
        <v>4.046434013429752</v>
      </c>
      <c r="H9" s="184"/>
      <c r="I9" s="184">
        <f>C44</f>
        <v>2.94228575886708</v>
      </c>
      <c r="J9" s="11"/>
      <c r="K9" s="356" t="s">
        <v>355</v>
      </c>
      <c r="L9" s="356"/>
      <c r="M9" s="356"/>
      <c r="N9" s="333">
        <v>141.594</v>
      </c>
      <c r="O9" s="233"/>
      <c r="P9" s="353" t="s">
        <v>365</v>
      </c>
      <c r="Q9" s="344">
        <v>0</v>
      </c>
      <c r="R9" s="343"/>
      <c r="S9" s="327">
        <f>R9*Q9</f>
        <v>0</v>
      </c>
      <c r="T9" s="372"/>
      <c r="U9" s="376" t="str">
        <f>K9</f>
        <v>FPT</v>
      </c>
      <c r="V9" s="376">
        <f>L9</f>
        <v>0</v>
      </c>
      <c r="W9" s="376">
        <f>M9</f>
        <v>0</v>
      </c>
      <c r="X9" s="378">
        <f>N9</f>
        <v>141.594</v>
      </c>
      <c r="Y9" s="333"/>
      <c r="Z9" s="333" t="s">
        <v>365</v>
      </c>
      <c r="AA9" s="333">
        <f>X9</f>
        <v>141.594</v>
      </c>
      <c r="AB9" s="333"/>
      <c r="AC9" s="191">
        <f aca="true" t="shared" si="0" ref="AC9:AC25">AB9*AA9</f>
        <v>0</v>
      </c>
      <c r="AE9" s="229" t="s">
        <v>220</v>
      </c>
      <c r="AF9" s="348">
        <v>3853</v>
      </c>
      <c r="AG9" s="230" t="s">
        <v>221</v>
      </c>
      <c r="AH9" s="351">
        <f>B72</f>
        <v>1742</v>
      </c>
    </row>
    <row r="10" spans="1:34" ht="12.75">
      <c r="A10" s="186" t="s">
        <v>222</v>
      </c>
      <c r="B10" s="333">
        <v>0.325</v>
      </c>
      <c r="C10" s="333">
        <v>0.325</v>
      </c>
      <c r="E10" t="s">
        <v>223</v>
      </c>
      <c r="F10" s="184"/>
      <c r="G10" s="184">
        <f>(G7-G8)*100</f>
        <v>1.000000000000023</v>
      </c>
      <c r="H10" s="184"/>
      <c r="I10" s="184">
        <f>(I7-I8)*100</f>
        <v>-1.000000000000023</v>
      </c>
      <c r="J10" s="11"/>
      <c r="K10" s="356" t="s">
        <v>356</v>
      </c>
      <c r="L10" s="356">
        <v>2</v>
      </c>
      <c r="M10" s="356" t="s">
        <v>358</v>
      </c>
      <c r="N10" s="333">
        <v>173.18</v>
      </c>
      <c r="O10" s="233"/>
      <c r="P10" s="353" t="s">
        <v>377</v>
      </c>
      <c r="Q10" s="344">
        <v>0</v>
      </c>
      <c r="R10" s="343"/>
      <c r="S10" s="327">
        <f>R10*Q10</f>
        <v>0</v>
      </c>
      <c r="T10" s="372"/>
      <c r="U10" s="376" t="str">
        <f aca="true" t="shared" si="1" ref="U10:U23">K10</f>
        <v>DB</v>
      </c>
      <c r="V10" s="376">
        <f aca="true" t="shared" si="2" ref="V10:V37">L10</f>
        <v>2</v>
      </c>
      <c r="W10" s="376" t="str">
        <f aca="true" t="shared" si="3" ref="W10:W37">M10</f>
        <v>port</v>
      </c>
      <c r="X10" s="378">
        <f aca="true" t="shared" si="4" ref="X10:X37">N10</f>
        <v>173.18</v>
      </c>
      <c r="Y10" s="333"/>
      <c r="Z10" s="333" t="s">
        <v>384</v>
      </c>
      <c r="AA10" s="333">
        <f>X10</f>
        <v>173.18</v>
      </c>
      <c r="AB10" s="333" t="s">
        <v>382</v>
      </c>
      <c r="AC10" s="191" t="e">
        <f t="shared" si="0"/>
        <v>#VALUE!</v>
      </c>
      <c r="AE10" s="229" t="s">
        <v>45</v>
      </c>
      <c r="AF10" s="348">
        <v>4</v>
      </c>
      <c r="AG10" s="230" t="s">
        <v>224</v>
      </c>
      <c r="AH10" s="351">
        <f>B73</f>
        <v>80</v>
      </c>
    </row>
    <row r="11" spans="1:34" ht="12.75">
      <c r="A11" s="186"/>
      <c r="B11" s="190"/>
      <c r="C11" s="190"/>
      <c r="E11" t="s">
        <v>225</v>
      </c>
      <c r="F11" s="184"/>
      <c r="G11" s="184">
        <f>(G7-G9)*100</f>
        <v>-15.643401342975194</v>
      </c>
      <c r="H11" s="184"/>
      <c r="I11" s="184">
        <f>(I7-I9)*100</f>
        <v>-4.228575886707997</v>
      </c>
      <c r="J11" s="11"/>
      <c r="K11" s="356" t="s">
        <v>356</v>
      </c>
      <c r="L11" s="356">
        <v>2</v>
      </c>
      <c r="M11" s="356" t="s">
        <v>359</v>
      </c>
      <c r="N11" s="333">
        <v>173.18</v>
      </c>
      <c r="O11" s="233"/>
      <c r="P11" s="353">
        <v>0.03</v>
      </c>
      <c r="Q11" s="344">
        <v>2</v>
      </c>
      <c r="R11" s="343">
        <v>1.025</v>
      </c>
      <c r="S11" s="327">
        <f>R11*Q11</f>
        <v>2.05</v>
      </c>
      <c r="T11" s="372"/>
      <c r="U11" s="376" t="str">
        <f t="shared" si="1"/>
        <v>DB</v>
      </c>
      <c r="V11" s="376">
        <f t="shared" si="2"/>
        <v>2</v>
      </c>
      <c r="W11" s="376" t="str">
        <f t="shared" si="3"/>
        <v>starboard</v>
      </c>
      <c r="X11" s="378">
        <f t="shared" si="4"/>
        <v>173.18</v>
      </c>
      <c r="Y11" s="333"/>
      <c r="Z11" s="333" t="s">
        <v>347</v>
      </c>
      <c r="AA11" s="333">
        <f aca="true" t="shared" si="5" ref="AA11:AA18">X11</f>
        <v>173.18</v>
      </c>
      <c r="AB11" s="333">
        <v>1</v>
      </c>
      <c r="AC11" s="191">
        <f t="shared" si="0"/>
        <v>173.18</v>
      </c>
      <c r="AE11" s="229" t="s">
        <v>46</v>
      </c>
      <c r="AF11" s="348" t="s">
        <v>375</v>
      </c>
      <c r="AG11" s="230" t="s">
        <v>352</v>
      </c>
      <c r="AH11" s="350"/>
    </row>
    <row r="12" spans="1:34" ht="12.75">
      <c r="A12" s="192" t="s">
        <v>226</v>
      </c>
      <c r="B12" s="193">
        <f>B7+(B8-B9)</f>
        <v>66</v>
      </c>
      <c r="C12" s="193">
        <f>C7+(C8-C9)</f>
        <v>66</v>
      </c>
      <c r="F12" s="184"/>
      <c r="G12" s="185"/>
      <c r="H12" s="185"/>
      <c r="I12" s="185"/>
      <c r="J12" s="11"/>
      <c r="K12" s="356" t="s">
        <v>356</v>
      </c>
      <c r="L12" s="356">
        <v>3</v>
      </c>
      <c r="M12" s="356" t="s">
        <v>358</v>
      </c>
      <c r="N12" s="333">
        <v>247.27</v>
      </c>
      <c r="O12" s="233"/>
      <c r="P12" s="353">
        <v>1</v>
      </c>
      <c r="Q12" s="344">
        <v>90</v>
      </c>
      <c r="R12" s="343" t="s">
        <v>383</v>
      </c>
      <c r="S12" s="372"/>
      <c r="T12" s="372"/>
      <c r="U12" s="376" t="str">
        <f>K12</f>
        <v>DB</v>
      </c>
      <c r="V12" s="376">
        <f>L12</f>
        <v>3</v>
      </c>
      <c r="W12" s="376" t="str">
        <f>M12</f>
        <v>port</v>
      </c>
      <c r="X12" s="378">
        <f>N12</f>
        <v>247.27</v>
      </c>
      <c r="Y12" s="333"/>
      <c r="Z12" s="333" t="s">
        <v>347</v>
      </c>
      <c r="AA12" s="333">
        <f t="shared" si="5"/>
        <v>247.27</v>
      </c>
      <c r="AB12" s="333">
        <v>1</v>
      </c>
      <c r="AC12" s="191">
        <f t="shared" si="0"/>
        <v>247.27</v>
      </c>
      <c r="AE12" s="229" t="s">
        <v>227</v>
      </c>
      <c r="AF12" s="348" t="s">
        <v>228</v>
      </c>
      <c r="AG12" s="230" t="s">
        <v>353</v>
      </c>
      <c r="AH12" s="350"/>
    </row>
    <row r="13" spans="1:34" ht="12.75">
      <c r="A13" s="186"/>
      <c r="B13" s="190"/>
      <c r="C13" s="190"/>
      <c r="E13" s="183" t="s">
        <v>229</v>
      </c>
      <c r="F13" s="184"/>
      <c r="G13" s="185"/>
      <c r="H13" s="185"/>
      <c r="I13" s="185"/>
      <c r="J13" s="11"/>
      <c r="K13" s="356" t="s">
        <v>356</v>
      </c>
      <c r="L13" s="356">
        <v>3</v>
      </c>
      <c r="M13" s="356" t="s">
        <v>359</v>
      </c>
      <c r="N13" s="333">
        <v>247.27</v>
      </c>
      <c r="O13" s="233"/>
      <c r="P13" s="353" t="s">
        <v>365</v>
      </c>
      <c r="Q13" s="344">
        <v>0</v>
      </c>
      <c r="R13" s="343"/>
      <c r="S13" s="327">
        <f>R15*Q15</f>
        <v>0</v>
      </c>
      <c r="T13" s="372"/>
      <c r="U13" s="376" t="str">
        <f t="shared" si="1"/>
        <v>DB</v>
      </c>
      <c r="V13" s="376">
        <f t="shared" si="2"/>
        <v>3</v>
      </c>
      <c r="W13" s="376" t="str">
        <f t="shared" si="3"/>
        <v>starboard</v>
      </c>
      <c r="X13" s="378">
        <f t="shared" si="4"/>
        <v>247.27</v>
      </c>
      <c r="Y13" s="333"/>
      <c r="Z13" s="333" t="s">
        <v>347</v>
      </c>
      <c r="AA13" s="333">
        <f t="shared" si="5"/>
        <v>247.27</v>
      </c>
      <c r="AB13" s="333">
        <v>1</v>
      </c>
      <c r="AC13" s="191">
        <f t="shared" si="0"/>
        <v>247.27</v>
      </c>
      <c r="AE13" s="229" t="s">
        <v>348</v>
      </c>
      <c r="AF13" s="391" t="s">
        <v>379</v>
      </c>
      <c r="AG13" s="230"/>
      <c r="AH13" s="11"/>
    </row>
    <row r="14" spans="1:34" ht="12.75">
      <c r="A14" s="194" t="s">
        <v>230</v>
      </c>
      <c r="B14" s="190"/>
      <c r="C14" s="190"/>
      <c r="E14" t="s">
        <v>231</v>
      </c>
      <c r="F14" s="184">
        <f>G7</f>
        <v>3.89</v>
      </c>
      <c r="G14" s="340">
        <v>53.641</v>
      </c>
      <c r="H14" s="184">
        <f>I7</f>
        <v>2.9</v>
      </c>
      <c r="I14" s="340">
        <v>54.879</v>
      </c>
      <c r="J14" s="11"/>
      <c r="K14" s="356" t="s">
        <v>356</v>
      </c>
      <c r="L14" s="356">
        <v>4</v>
      </c>
      <c r="M14" s="356" t="s">
        <v>358</v>
      </c>
      <c r="N14" s="333">
        <v>247.24</v>
      </c>
      <c r="O14" s="233"/>
      <c r="P14" s="353" t="s">
        <v>365</v>
      </c>
      <c r="Q14" s="344">
        <v>0</v>
      </c>
      <c r="R14" s="343"/>
      <c r="S14" s="327">
        <f>R16*Q16</f>
        <v>0</v>
      </c>
      <c r="T14" s="372"/>
      <c r="U14" s="376" t="str">
        <f t="shared" si="1"/>
        <v>DB</v>
      </c>
      <c r="V14" s="376">
        <f t="shared" si="2"/>
        <v>4</v>
      </c>
      <c r="W14" s="376" t="str">
        <f t="shared" si="3"/>
        <v>port</v>
      </c>
      <c r="X14" s="378">
        <f t="shared" si="4"/>
        <v>247.24</v>
      </c>
      <c r="Y14" s="333"/>
      <c r="Z14" s="333" t="s">
        <v>347</v>
      </c>
      <c r="AA14" s="333">
        <f t="shared" si="5"/>
        <v>247.24</v>
      </c>
      <c r="AB14" s="333">
        <v>1</v>
      </c>
      <c r="AC14" s="191">
        <f t="shared" si="0"/>
        <v>247.24</v>
      </c>
      <c r="AE14" s="234"/>
      <c r="AF14" s="349"/>
      <c r="AG14" s="235"/>
      <c r="AH14" s="13"/>
    </row>
    <row r="15" spans="1:29" ht="12.75">
      <c r="A15" s="186" t="s">
        <v>232</v>
      </c>
      <c r="B15" s="333">
        <v>3.85</v>
      </c>
      <c r="C15" s="333">
        <v>2.3</v>
      </c>
      <c r="E15" t="s">
        <v>233</v>
      </c>
      <c r="F15" s="184">
        <f>G8</f>
        <v>3.88</v>
      </c>
      <c r="G15" s="340">
        <v>53.649</v>
      </c>
      <c r="H15" s="184">
        <f>I8</f>
        <v>2.91</v>
      </c>
      <c r="I15" s="340">
        <v>54.866</v>
      </c>
      <c r="J15" s="11"/>
      <c r="K15" s="356" t="s">
        <v>356</v>
      </c>
      <c r="L15" s="356">
        <v>4</v>
      </c>
      <c r="M15" s="356" t="s">
        <v>359</v>
      </c>
      <c r="N15" s="333">
        <v>247.24</v>
      </c>
      <c r="O15" s="233"/>
      <c r="P15" s="353" t="s">
        <v>365</v>
      </c>
      <c r="Q15" s="344">
        <v>0</v>
      </c>
      <c r="R15" s="343"/>
      <c r="S15" s="327">
        <f>R17*Q17</f>
        <v>0</v>
      </c>
      <c r="T15" s="372"/>
      <c r="U15" s="376" t="str">
        <f t="shared" si="1"/>
        <v>DB</v>
      </c>
      <c r="V15" s="376">
        <f t="shared" si="2"/>
        <v>4</v>
      </c>
      <c r="W15" s="376" t="str">
        <f t="shared" si="3"/>
        <v>starboard</v>
      </c>
      <c r="X15" s="378">
        <f t="shared" si="4"/>
        <v>247.24</v>
      </c>
      <c r="Y15" s="333"/>
      <c r="Z15" s="333" t="s">
        <v>347</v>
      </c>
      <c r="AA15" s="333">
        <f t="shared" si="5"/>
        <v>247.24</v>
      </c>
      <c r="AB15" s="333">
        <v>1</v>
      </c>
      <c r="AC15" s="191">
        <f t="shared" si="0"/>
        <v>247.24</v>
      </c>
    </row>
    <row r="16" spans="1:33" ht="12.75">
      <c r="A16" s="186" t="s">
        <v>234</v>
      </c>
      <c r="B16" s="334">
        <v>3.85</v>
      </c>
      <c r="C16" s="333">
        <v>2.3</v>
      </c>
      <c r="E16" t="s">
        <v>235</v>
      </c>
      <c r="F16" s="184"/>
      <c r="G16" s="184">
        <f>G14-G15</f>
        <v>-0.008000000000002672</v>
      </c>
      <c r="H16" s="184"/>
      <c r="I16" s="184">
        <f>I14-I15</f>
        <v>0.012999999999998124</v>
      </c>
      <c r="J16" s="11"/>
      <c r="K16" s="356" t="s">
        <v>356</v>
      </c>
      <c r="L16" s="356">
        <v>5</v>
      </c>
      <c r="M16" s="356" t="s">
        <v>358</v>
      </c>
      <c r="N16" s="333">
        <v>172.1</v>
      </c>
      <c r="O16" s="233"/>
      <c r="P16" s="353" t="s">
        <v>365</v>
      </c>
      <c r="Q16" s="344">
        <v>0</v>
      </c>
      <c r="R16" s="343"/>
      <c r="S16" s="327">
        <f>R18*Q18</f>
        <v>0</v>
      </c>
      <c r="T16" s="372"/>
      <c r="U16" s="376" t="str">
        <f t="shared" si="1"/>
        <v>DB</v>
      </c>
      <c r="V16" s="376">
        <f t="shared" si="2"/>
        <v>5</v>
      </c>
      <c r="W16" s="376" t="str">
        <f t="shared" si="3"/>
        <v>port</v>
      </c>
      <c r="X16" s="378">
        <f t="shared" si="4"/>
        <v>172.1</v>
      </c>
      <c r="Y16" s="333"/>
      <c r="Z16" s="333" t="s">
        <v>347</v>
      </c>
      <c r="AA16" s="333">
        <f t="shared" si="5"/>
        <v>172.1</v>
      </c>
      <c r="AB16" s="333">
        <v>1</v>
      </c>
      <c r="AC16" s="191">
        <f t="shared" si="0"/>
        <v>172.1</v>
      </c>
      <c r="AE16" s="244" t="s">
        <v>236</v>
      </c>
      <c r="AF16" s="18" t="s">
        <v>237</v>
      </c>
      <c r="AG16" s="18" t="s">
        <v>238</v>
      </c>
    </row>
    <row r="17" spans="1:32" ht="12.75">
      <c r="A17" s="186" t="s">
        <v>239</v>
      </c>
      <c r="B17" s="191">
        <f>(B15+B16)/2</f>
        <v>3.85</v>
      </c>
      <c r="C17" s="191">
        <f>(C15+C16)/2</f>
        <v>2.3</v>
      </c>
      <c r="E17" t="s">
        <v>240</v>
      </c>
      <c r="F17" s="184"/>
      <c r="G17" s="184">
        <f>G16/G10</f>
        <v>-0.008000000000002488</v>
      </c>
      <c r="H17" s="184"/>
      <c r="I17" s="184">
        <f>I16/I10</f>
        <v>-0.012999999999997824</v>
      </c>
      <c r="J17" s="11"/>
      <c r="K17" s="356" t="s">
        <v>356</v>
      </c>
      <c r="L17" s="356">
        <v>5</v>
      </c>
      <c r="M17" s="356" t="s">
        <v>359</v>
      </c>
      <c r="N17" s="333">
        <v>172.1</v>
      </c>
      <c r="O17" s="233"/>
      <c r="P17" s="353" t="s">
        <v>365</v>
      </c>
      <c r="Q17" s="344">
        <v>0</v>
      </c>
      <c r="R17" s="343"/>
      <c r="S17" s="327">
        <f>R19*Q19</f>
        <v>0</v>
      </c>
      <c r="T17" s="372"/>
      <c r="U17" s="376" t="str">
        <f t="shared" si="1"/>
        <v>DB</v>
      </c>
      <c r="V17" s="376">
        <f t="shared" si="2"/>
        <v>5</v>
      </c>
      <c r="W17" s="376" t="str">
        <f t="shared" si="3"/>
        <v>starboard</v>
      </c>
      <c r="X17" s="378">
        <f t="shared" si="4"/>
        <v>172.1</v>
      </c>
      <c r="Y17" s="333"/>
      <c r="Z17" s="333" t="s">
        <v>347</v>
      </c>
      <c r="AA17" s="333">
        <f t="shared" si="5"/>
        <v>172.1</v>
      </c>
      <c r="AB17" s="333">
        <v>1</v>
      </c>
      <c r="AC17" s="191">
        <f t="shared" si="0"/>
        <v>172.1</v>
      </c>
      <c r="AE17" t="s">
        <v>241</v>
      </c>
      <c r="AF17" s="18" t="s">
        <v>372</v>
      </c>
    </row>
    <row r="18" spans="1:33" ht="12.75">
      <c r="A18" s="186"/>
      <c r="B18" s="190"/>
      <c r="C18" s="190"/>
      <c r="E18" t="s">
        <v>242</v>
      </c>
      <c r="F18" s="184"/>
      <c r="G18" s="184">
        <f>(G14)-(G17*G11)</f>
        <v>53.51585278925616</v>
      </c>
      <c r="H18" s="184"/>
      <c r="I18" s="184">
        <f>(I14)-(I17*I11)</f>
        <v>54.824028513472804</v>
      </c>
      <c r="J18" s="11"/>
      <c r="K18" s="356" t="s">
        <v>357</v>
      </c>
      <c r="L18" s="356"/>
      <c r="M18" s="356"/>
      <c r="N18" s="333">
        <v>26.473</v>
      </c>
      <c r="O18" s="233"/>
      <c r="P18" s="353" t="s">
        <v>365</v>
      </c>
      <c r="Q18" s="344">
        <v>0</v>
      </c>
      <c r="R18" s="343"/>
      <c r="S18" s="327">
        <f>R20*Q20</f>
        <v>0</v>
      </c>
      <c r="T18" s="372"/>
      <c r="U18" s="376" t="str">
        <f t="shared" si="1"/>
        <v>AFTPT</v>
      </c>
      <c r="V18" s="376">
        <f t="shared" si="2"/>
        <v>0</v>
      </c>
      <c r="W18" s="376">
        <f t="shared" si="3"/>
        <v>0</v>
      </c>
      <c r="X18" s="378">
        <f t="shared" si="4"/>
        <v>26.473</v>
      </c>
      <c r="Y18" s="333"/>
      <c r="Z18" s="333" t="s">
        <v>365</v>
      </c>
      <c r="AA18" s="333">
        <f t="shared" si="5"/>
        <v>26.473</v>
      </c>
      <c r="AB18" s="333"/>
      <c r="AC18" s="191">
        <f t="shared" si="0"/>
        <v>0</v>
      </c>
      <c r="AE18" t="s">
        <v>243</v>
      </c>
      <c r="AF18" s="352">
        <v>36827</v>
      </c>
      <c r="AG18" s="381" t="s">
        <v>363</v>
      </c>
    </row>
    <row r="19" spans="1:33" ht="12.75">
      <c r="A19" s="186" t="s">
        <v>244</v>
      </c>
      <c r="B19" s="333">
        <v>4.15</v>
      </c>
      <c r="C19" s="331">
        <v>3.58</v>
      </c>
      <c r="E19" t="s">
        <v>245</v>
      </c>
      <c r="F19" s="184"/>
      <c r="G19" s="184">
        <f>B7/2</f>
        <v>56.25</v>
      </c>
      <c r="H19" s="184"/>
      <c r="I19" s="184">
        <f>G19</f>
        <v>56.25</v>
      </c>
      <c r="J19" s="11"/>
      <c r="K19" s="356"/>
      <c r="L19" s="356"/>
      <c r="M19" s="356"/>
      <c r="N19" s="333"/>
      <c r="O19" s="233"/>
      <c r="P19" s="353"/>
      <c r="Q19" s="344"/>
      <c r="R19" s="343"/>
      <c r="S19" s="327">
        <f>R21*Q21</f>
        <v>0</v>
      </c>
      <c r="T19" s="372"/>
      <c r="U19" s="376">
        <f t="shared" si="1"/>
        <v>0</v>
      </c>
      <c r="V19" s="376">
        <f t="shared" si="2"/>
        <v>0</v>
      </c>
      <c r="W19" s="376">
        <f t="shared" si="3"/>
        <v>0</v>
      </c>
      <c r="X19" s="378">
        <f t="shared" si="4"/>
        <v>0</v>
      </c>
      <c r="Y19" s="333"/>
      <c r="Z19" s="333"/>
      <c r="AA19" s="333">
        <f>X19</f>
        <v>0</v>
      </c>
      <c r="AB19" s="333"/>
      <c r="AC19" s="191">
        <f t="shared" si="0"/>
        <v>0</v>
      </c>
      <c r="AE19" t="s">
        <v>246</v>
      </c>
      <c r="AF19" s="352">
        <v>36827</v>
      </c>
      <c r="AG19" s="381" t="s">
        <v>368</v>
      </c>
    </row>
    <row r="20" spans="1:33" ht="12.75">
      <c r="A20" s="186" t="s">
        <v>247</v>
      </c>
      <c r="B20" s="333">
        <v>4.15</v>
      </c>
      <c r="C20" s="333">
        <v>3.65</v>
      </c>
      <c r="F20" s="184"/>
      <c r="G20" s="184">
        <f>G19-G18</f>
        <v>2.734147210743842</v>
      </c>
      <c r="H20" s="184"/>
      <c r="I20" s="184">
        <f>I19-I18</f>
        <v>1.425971486527196</v>
      </c>
      <c r="J20" s="11"/>
      <c r="K20" s="356"/>
      <c r="L20" s="356"/>
      <c r="M20" s="356"/>
      <c r="N20" s="333"/>
      <c r="O20" s="233"/>
      <c r="P20" s="353"/>
      <c r="Q20" s="344"/>
      <c r="R20" s="343"/>
      <c r="S20" s="327">
        <f>R22*Q22</f>
        <v>0</v>
      </c>
      <c r="T20" s="372"/>
      <c r="U20" s="376">
        <f t="shared" si="1"/>
        <v>0</v>
      </c>
      <c r="V20" s="376">
        <f t="shared" si="2"/>
        <v>0</v>
      </c>
      <c r="W20" s="376">
        <f t="shared" si="3"/>
        <v>0</v>
      </c>
      <c r="X20" s="378">
        <f t="shared" si="4"/>
        <v>0</v>
      </c>
      <c r="Y20" s="333"/>
      <c r="Z20" s="333"/>
      <c r="AA20" s="333">
        <f>X20</f>
        <v>0</v>
      </c>
      <c r="AB20" s="333"/>
      <c r="AC20" s="191">
        <f t="shared" si="0"/>
        <v>0</v>
      </c>
      <c r="AE20" t="s">
        <v>248</v>
      </c>
      <c r="AF20" s="352">
        <v>36827</v>
      </c>
      <c r="AG20" s="381" t="s">
        <v>363</v>
      </c>
    </row>
    <row r="21" spans="1:33" ht="12.75">
      <c r="A21" s="186" t="s">
        <v>249</v>
      </c>
      <c r="B21" s="191">
        <f>(B19+B20)/2</f>
        <v>4.15</v>
      </c>
      <c r="C21" s="191">
        <f>(C19+C20)/2</f>
        <v>3.615</v>
      </c>
      <c r="F21" s="184" t="s">
        <v>250</v>
      </c>
      <c r="G21" s="195">
        <f>IF(G14=0,"",G20)</f>
        <v>2.734147210743842</v>
      </c>
      <c r="H21" s="184" t="s">
        <v>251</v>
      </c>
      <c r="I21" s="195">
        <f>IF(I14=0,"",I20)</f>
        <v>1.425971486527196</v>
      </c>
      <c r="J21" s="11"/>
      <c r="K21" s="356"/>
      <c r="L21" s="356"/>
      <c r="M21" s="356"/>
      <c r="N21" s="333"/>
      <c r="O21" s="233"/>
      <c r="P21" s="353"/>
      <c r="Q21" s="344"/>
      <c r="R21" s="343"/>
      <c r="S21" s="327">
        <f>R23*Q23</f>
        <v>0</v>
      </c>
      <c r="T21" s="372"/>
      <c r="U21" s="376">
        <f t="shared" si="1"/>
        <v>0</v>
      </c>
      <c r="V21" s="376">
        <f t="shared" si="2"/>
        <v>0</v>
      </c>
      <c r="W21" s="376">
        <f t="shared" si="3"/>
        <v>0</v>
      </c>
      <c r="X21" s="378">
        <f t="shared" si="4"/>
        <v>0</v>
      </c>
      <c r="Y21" s="333"/>
      <c r="Z21" s="333"/>
      <c r="AA21" s="333">
        <f>X21-(X21*2/100)</f>
        <v>0</v>
      </c>
      <c r="AB21" s="333"/>
      <c r="AC21" s="191">
        <f t="shared" si="0"/>
        <v>0</v>
      </c>
      <c r="AE21" t="s">
        <v>252</v>
      </c>
      <c r="AF21" s="352">
        <v>36829</v>
      </c>
      <c r="AG21" s="381" t="s">
        <v>369</v>
      </c>
    </row>
    <row r="22" spans="1:33" ht="12.75">
      <c r="A22" s="186"/>
      <c r="B22" s="191"/>
      <c r="C22" s="191"/>
      <c r="F22" s="184"/>
      <c r="G22" s="185"/>
      <c r="H22" s="184"/>
      <c r="I22" s="185"/>
      <c r="J22" s="11"/>
      <c r="K22" s="356"/>
      <c r="L22" s="356"/>
      <c r="M22" s="356"/>
      <c r="N22" s="333"/>
      <c r="O22" s="233"/>
      <c r="P22" s="353"/>
      <c r="Q22" s="344"/>
      <c r="R22" s="343"/>
      <c r="S22" s="327">
        <f>R24*Q24</f>
        <v>0</v>
      </c>
      <c r="T22" s="372"/>
      <c r="U22" s="376">
        <f t="shared" si="1"/>
        <v>0</v>
      </c>
      <c r="V22" s="376">
        <f t="shared" si="2"/>
        <v>0</v>
      </c>
      <c r="W22" s="376">
        <f t="shared" si="3"/>
        <v>0</v>
      </c>
      <c r="X22" s="378">
        <f t="shared" si="4"/>
        <v>0</v>
      </c>
      <c r="Y22" s="333"/>
      <c r="Z22" s="333"/>
      <c r="AA22" s="333">
        <f>X22</f>
        <v>0</v>
      </c>
      <c r="AB22" s="333"/>
      <c r="AC22" s="191">
        <f t="shared" si="0"/>
        <v>0</v>
      </c>
      <c r="AE22" t="s">
        <v>253</v>
      </c>
      <c r="AF22" s="352">
        <v>36832</v>
      </c>
      <c r="AG22" s="381" t="s">
        <v>370</v>
      </c>
    </row>
    <row r="23" spans="1:33" ht="12.75">
      <c r="A23" s="186" t="s">
        <v>254</v>
      </c>
      <c r="B23" s="191">
        <f>B21-B17</f>
        <v>0.30000000000000027</v>
      </c>
      <c r="C23" s="191">
        <f>C21-C17</f>
        <v>1.3150000000000004</v>
      </c>
      <c r="E23" s="183" t="s">
        <v>255</v>
      </c>
      <c r="F23" s="184"/>
      <c r="G23" s="185"/>
      <c r="H23" s="184"/>
      <c r="I23" s="185"/>
      <c r="J23" s="11"/>
      <c r="K23" s="356"/>
      <c r="L23" s="356"/>
      <c r="M23" s="356"/>
      <c r="N23" s="333"/>
      <c r="O23" s="233"/>
      <c r="P23" s="353"/>
      <c r="Q23" s="344"/>
      <c r="R23" s="343"/>
      <c r="S23" s="327">
        <f>R25*Q25</f>
        <v>0</v>
      </c>
      <c r="T23" s="372"/>
      <c r="U23" s="376">
        <f t="shared" si="1"/>
        <v>0</v>
      </c>
      <c r="V23" s="376">
        <f t="shared" si="2"/>
        <v>0</v>
      </c>
      <c r="W23" s="376">
        <f t="shared" si="3"/>
        <v>0</v>
      </c>
      <c r="X23" s="378">
        <f t="shared" si="4"/>
        <v>0</v>
      </c>
      <c r="Y23" s="333"/>
      <c r="Z23" s="333"/>
      <c r="AA23" s="333">
        <f>X23</f>
        <v>0</v>
      </c>
      <c r="AB23" s="333"/>
      <c r="AC23" s="191">
        <f t="shared" si="0"/>
        <v>0</v>
      </c>
      <c r="AE23" t="s">
        <v>256</v>
      </c>
      <c r="AF23" s="352">
        <v>36832</v>
      </c>
      <c r="AG23" s="381" t="s">
        <v>371</v>
      </c>
    </row>
    <row r="24" spans="1:33" ht="12.75">
      <c r="A24" s="186"/>
      <c r="B24" s="191"/>
      <c r="C24" s="191"/>
      <c r="E24" t="s">
        <v>257</v>
      </c>
      <c r="F24" s="184">
        <f>G7</f>
        <v>3.89</v>
      </c>
      <c r="G24" s="340">
        <v>2.601</v>
      </c>
      <c r="H24" s="184">
        <f>I7</f>
        <v>2.9</v>
      </c>
      <c r="I24" s="340">
        <v>0.087</v>
      </c>
      <c r="J24" s="11"/>
      <c r="K24" s="356"/>
      <c r="L24" s="356"/>
      <c r="M24" s="356"/>
      <c r="N24" s="333"/>
      <c r="O24" s="233"/>
      <c r="P24" s="353"/>
      <c r="Q24" s="344"/>
      <c r="R24" s="343"/>
      <c r="S24" s="191"/>
      <c r="T24" s="372"/>
      <c r="U24" s="376">
        <f aca="true" t="shared" si="6" ref="U24:U37">K24</f>
        <v>0</v>
      </c>
      <c r="V24" s="376">
        <f t="shared" si="2"/>
        <v>0</v>
      </c>
      <c r="W24" s="376">
        <f t="shared" si="3"/>
        <v>0</v>
      </c>
      <c r="X24" s="378">
        <f t="shared" si="4"/>
        <v>0</v>
      </c>
      <c r="Y24" s="333"/>
      <c r="Z24" s="333"/>
      <c r="AA24" s="333">
        <f>X24</f>
        <v>0</v>
      </c>
      <c r="AB24" s="333"/>
      <c r="AC24" s="191">
        <f t="shared" si="0"/>
        <v>0</v>
      </c>
      <c r="AE24" t="s">
        <v>258</v>
      </c>
      <c r="AF24" s="352">
        <v>36832</v>
      </c>
      <c r="AG24" s="381" t="s">
        <v>364</v>
      </c>
    </row>
    <row r="25" spans="1:32" ht="12.75">
      <c r="A25" s="186" t="s">
        <v>259</v>
      </c>
      <c r="B25" s="191">
        <f>(B8*B23)/B12</f>
        <v>-0.07750000000000007</v>
      </c>
      <c r="C25" s="191">
        <f>(C8*C23)/C12</f>
        <v>-0.33970833333333345</v>
      </c>
      <c r="E25" t="s">
        <v>260</v>
      </c>
      <c r="F25" s="184">
        <f>G8</f>
        <v>3.88</v>
      </c>
      <c r="G25" s="340">
        <v>2.593</v>
      </c>
      <c r="H25" s="184">
        <f>I8</f>
        <v>2.91</v>
      </c>
      <c r="I25" s="340">
        <v>0.08</v>
      </c>
      <c r="J25" s="11"/>
      <c r="K25" s="356"/>
      <c r="L25" s="356"/>
      <c r="M25" s="356"/>
      <c r="N25" s="333"/>
      <c r="O25" s="233"/>
      <c r="P25" s="353"/>
      <c r="Q25" s="344"/>
      <c r="R25" s="343"/>
      <c r="S25" s="191"/>
      <c r="T25" s="372"/>
      <c r="U25" s="376">
        <f t="shared" si="6"/>
        <v>0</v>
      </c>
      <c r="V25" s="376">
        <f t="shared" si="2"/>
        <v>0</v>
      </c>
      <c r="W25" s="376">
        <f t="shared" si="3"/>
        <v>0</v>
      </c>
      <c r="X25" s="378">
        <f t="shared" si="4"/>
        <v>0</v>
      </c>
      <c r="Y25" s="333"/>
      <c r="Z25" s="333"/>
      <c r="AA25" s="333">
        <f>X25</f>
        <v>0</v>
      </c>
      <c r="AB25" s="333"/>
      <c r="AC25" s="191">
        <f t="shared" si="0"/>
        <v>0</v>
      </c>
      <c r="AE25" t="s">
        <v>261</v>
      </c>
      <c r="AF25" s="336" t="s">
        <v>373</v>
      </c>
    </row>
    <row r="26" spans="1:34" ht="12.75">
      <c r="A26" s="186" t="s">
        <v>262</v>
      </c>
      <c r="B26" s="191">
        <f>B17+B25</f>
        <v>3.7725</v>
      </c>
      <c r="C26" s="191">
        <f>C17+C25</f>
        <v>1.9602916666666663</v>
      </c>
      <c r="E26" t="s">
        <v>235</v>
      </c>
      <c r="F26" s="184"/>
      <c r="G26" s="184">
        <f>G24-G25</f>
        <v>0.008000000000000007</v>
      </c>
      <c r="H26" s="184"/>
      <c r="I26" s="184">
        <f>I24-I25</f>
        <v>0.006999999999999992</v>
      </c>
      <c r="J26" s="11"/>
      <c r="K26" s="328"/>
      <c r="L26" s="363"/>
      <c r="M26" s="364"/>
      <c r="N26" s="333"/>
      <c r="O26" s="233"/>
      <c r="P26" s="333"/>
      <c r="Q26" s="333"/>
      <c r="R26" s="333"/>
      <c r="S26" s="191"/>
      <c r="T26" s="373"/>
      <c r="U26" s="376">
        <f t="shared" si="6"/>
        <v>0</v>
      </c>
      <c r="V26" s="376">
        <f t="shared" si="2"/>
        <v>0</v>
      </c>
      <c r="W26" s="376">
        <f t="shared" si="3"/>
        <v>0</v>
      </c>
      <c r="X26" s="378">
        <f t="shared" si="4"/>
        <v>0</v>
      </c>
      <c r="Y26" s="333"/>
      <c r="Z26" s="333"/>
      <c r="AA26" s="333"/>
      <c r="AB26" s="333"/>
      <c r="AC26" s="191"/>
      <c r="AE26" t="s">
        <v>342</v>
      </c>
      <c r="AF26" s="18" t="s">
        <v>380</v>
      </c>
      <c r="AG26" t="s">
        <v>343</v>
      </c>
      <c r="AH26" t="s">
        <v>5</v>
      </c>
    </row>
    <row r="27" spans="1:32" ht="12.75">
      <c r="A27" s="186"/>
      <c r="B27" s="191"/>
      <c r="C27" s="191"/>
      <c r="E27" t="s">
        <v>240</v>
      </c>
      <c r="F27" s="184"/>
      <c r="G27" s="184">
        <f>G26/G10</f>
        <v>0.007999999999999823</v>
      </c>
      <c r="H27" s="184"/>
      <c r="I27" s="184">
        <f>I26/I10</f>
        <v>-0.006999999999999831</v>
      </c>
      <c r="J27" s="11"/>
      <c r="K27" s="341"/>
      <c r="L27" s="341"/>
      <c r="M27" s="341"/>
      <c r="N27" s="333"/>
      <c r="O27" s="233"/>
      <c r="P27" s="333"/>
      <c r="Q27" s="333"/>
      <c r="R27" s="333"/>
      <c r="S27" s="191"/>
      <c r="T27" s="373"/>
      <c r="U27" s="376">
        <f t="shared" si="6"/>
        <v>0</v>
      </c>
      <c r="V27" s="376">
        <f t="shared" si="2"/>
        <v>0</v>
      </c>
      <c r="W27" s="376">
        <f t="shared" si="3"/>
        <v>0</v>
      </c>
      <c r="X27" s="378">
        <f t="shared" si="4"/>
        <v>0</v>
      </c>
      <c r="Y27" s="333"/>
      <c r="Z27" s="333"/>
      <c r="AA27" s="333"/>
      <c r="AB27" s="333"/>
      <c r="AC27" s="191"/>
      <c r="AE27" t="s">
        <v>48</v>
      </c>
      <c r="AF27" s="336" t="s">
        <v>381</v>
      </c>
    </row>
    <row r="28" spans="1:32" ht="12.75">
      <c r="A28" s="186" t="s">
        <v>263</v>
      </c>
      <c r="B28" s="191">
        <f>(B9*B23)/B12</f>
        <v>0.1338636363636365</v>
      </c>
      <c r="C28" s="191">
        <f>(C9*C23)/C12</f>
        <v>0.5867689393939396</v>
      </c>
      <c r="E28" t="s">
        <v>242</v>
      </c>
      <c r="F28" s="184" t="s">
        <v>250</v>
      </c>
      <c r="G28" s="195">
        <f>G24-(G27*G11)</f>
        <v>2.726147210743799</v>
      </c>
      <c r="H28" s="184"/>
      <c r="I28" s="195">
        <f>I24-(I27*I11)</f>
        <v>0.05739996879304473</v>
      </c>
      <c r="J28" s="11"/>
      <c r="K28" s="341"/>
      <c r="L28" s="341"/>
      <c r="M28" s="341"/>
      <c r="N28" s="333"/>
      <c r="O28" s="233"/>
      <c r="P28" s="333"/>
      <c r="Q28" s="333"/>
      <c r="R28" s="333"/>
      <c r="S28" s="191"/>
      <c r="T28" s="373"/>
      <c r="U28" s="376">
        <f t="shared" si="6"/>
        <v>0</v>
      </c>
      <c r="V28" s="376">
        <f t="shared" si="2"/>
        <v>0</v>
      </c>
      <c r="W28" s="376">
        <f t="shared" si="3"/>
        <v>0</v>
      </c>
      <c r="X28" s="378">
        <f t="shared" si="4"/>
        <v>0</v>
      </c>
      <c r="Y28" s="333"/>
      <c r="Z28" s="333"/>
      <c r="AA28" s="333"/>
      <c r="AB28" s="333"/>
      <c r="AC28" s="191"/>
      <c r="AE28" t="s">
        <v>264</v>
      </c>
      <c r="AF28" s="336">
        <v>3144.039</v>
      </c>
    </row>
    <row r="29" spans="1:29" ht="12.75">
      <c r="A29" s="186" t="s">
        <v>265</v>
      </c>
      <c r="B29" s="191">
        <f>B21+B28</f>
        <v>4.283863636363637</v>
      </c>
      <c r="C29" s="191">
        <f>C21+C28</f>
        <v>4.20176893939394</v>
      </c>
      <c r="F29" s="184"/>
      <c r="G29" s="185"/>
      <c r="H29" s="184"/>
      <c r="I29" s="185"/>
      <c r="J29" s="11"/>
      <c r="K29" s="341"/>
      <c r="L29" s="341"/>
      <c r="M29" s="341"/>
      <c r="N29" s="333"/>
      <c r="O29" s="233"/>
      <c r="P29" s="333"/>
      <c r="Q29" s="333"/>
      <c r="R29" s="333"/>
      <c r="S29" s="191"/>
      <c r="T29" s="373"/>
      <c r="U29" s="376">
        <f t="shared" si="6"/>
        <v>0</v>
      </c>
      <c r="V29" s="376">
        <f t="shared" si="2"/>
        <v>0</v>
      </c>
      <c r="W29" s="376">
        <f t="shared" si="3"/>
        <v>0</v>
      </c>
      <c r="X29" s="378">
        <f t="shared" si="4"/>
        <v>0</v>
      </c>
      <c r="Y29" s="333"/>
      <c r="Z29" s="333"/>
      <c r="AA29" s="333"/>
      <c r="AB29" s="333"/>
      <c r="AC29" s="191"/>
    </row>
    <row r="30" spans="1:29" ht="12.75">
      <c r="A30" s="186"/>
      <c r="B30" s="191"/>
      <c r="C30" s="191"/>
      <c r="E30" s="183" t="s">
        <v>266</v>
      </c>
      <c r="F30" s="184"/>
      <c r="G30" s="185"/>
      <c r="H30" s="184"/>
      <c r="I30" s="185"/>
      <c r="J30" s="11"/>
      <c r="K30" s="341"/>
      <c r="L30" s="341"/>
      <c r="M30" s="341"/>
      <c r="N30" s="333"/>
      <c r="O30" s="233"/>
      <c r="P30" s="333"/>
      <c r="Q30" s="333"/>
      <c r="R30" s="333"/>
      <c r="S30" s="191"/>
      <c r="T30" s="373"/>
      <c r="U30" s="376">
        <f t="shared" si="6"/>
        <v>0</v>
      </c>
      <c r="V30" s="376">
        <f t="shared" si="2"/>
        <v>0</v>
      </c>
      <c r="W30" s="376">
        <f t="shared" si="3"/>
        <v>0</v>
      </c>
      <c r="X30" s="378">
        <f t="shared" si="4"/>
        <v>0</v>
      </c>
      <c r="Y30" s="333"/>
      <c r="Z30" s="333"/>
      <c r="AA30" s="333"/>
      <c r="AB30" s="333"/>
      <c r="AC30" s="191"/>
    </row>
    <row r="31" spans="1:29" ht="12.75">
      <c r="A31" s="186" t="s">
        <v>267</v>
      </c>
      <c r="B31" s="191">
        <f>B29-B26</f>
        <v>0.5113636363636367</v>
      </c>
      <c r="C31" s="191">
        <f>C29-C26</f>
        <v>2.2414772727272734</v>
      </c>
      <c r="E31" t="s">
        <v>268</v>
      </c>
      <c r="F31" s="184">
        <f>G7</f>
        <v>3.89</v>
      </c>
      <c r="G31" s="340">
        <v>0.368</v>
      </c>
      <c r="H31" s="184">
        <f>I7</f>
        <v>2.9</v>
      </c>
      <c r="I31" s="340">
        <v>1</v>
      </c>
      <c r="J31" s="11"/>
      <c r="K31" s="341"/>
      <c r="L31" s="341"/>
      <c r="M31" s="341"/>
      <c r="N31" s="333"/>
      <c r="O31" s="233"/>
      <c r="P31" s="333"/>
      <c r="Q31" s="333"/>
      <c r="R31" s="333"/>
      <c r="S31" s="191"/>
      <c r="T31" s="373"/>
      <c r="U31" s="376">
        <f t="shared" si="6"/>
        <v>0</v>
      </c>
      <c r="V31" s="376">
        <f t="shared" si="2"/>
        <v>0</v>
      </c>
      <c r="W31" s="376">
        <f t="shared" si="3"/>
        <v>0</v>
      </c>
      <c r="X31" s="378">
        <f t="shared" si="4"/>
        <v>0</v>
      </c>
      <c r="Y31" s="333"/>
      <c r="Z31" s="333"/>
      <c r="AA31" s="333"/>
      <c r="AB31" s="333"/>
      <c r="AC31" s="191"/>
    </row>
    <row r="32" spans="1:29" ht="12.75">
      <c r="A32" s="186"/>
      <c r="B32" s="191"/>
      <c r="C32" s="191"/>
      <c r="E32" t="s">
        <v>269</v>
      </c>
      <c r="F32" s="184">
        <f>G8</f>
        <v>3.88</v>
      </c>
      <c r="G32" s="340">
        <v>0.367</v>
      </c>
      <c r="H32" s="184">
        <f>I8</f>
        <v>2.91</v>
      </c>
      <c r="I32" s="340">
        <v>1.1</v>
      </c>
      <c r="J32" s="11"/>
      <c r="K32" s="341"/>
      <c r="L32" s="341"/>
      <c r="M32" s="341"/>
      <c r="N32" s="333"/>
      <c r="O32" s="233"/>
      <c r="P32" s="333"/>
      <c r="Q32" s="333"/>
      <c r="R32" s="333"/>
      <c r="S32" s="191"/>
      <c r="T32" s="373"/>
      <c r="U32" s="376">
        <f t="shared" si="6"/>
        <v>0</v>
      </c>
      <c r="V32" s="376">
        <f t="shared" si="2"/>
        <v>0</v>
      </c>
      <c r="W32" s="376">
        <f t="shared" si="3"/>
        <v>0</v>
      </c>
      <c r="X32" s="378">
        <f t="shared" si="4"/>
        <v>0</v>
      </c>
      <c r="Y32" s="333"/>
      <c r="Z32" s="333"/>
      <c r="AA32" s="333"/>
      <c r="AB32" s="333"/>
      <c r="AC32" s="191"/>
    </row>
    <row r="33" spans="1:35" ht="12.75">
      <c r="A33" s="186" t="s">
        <v>270</v>
      </c>
      <c r="B33" s="191">
        <f>(B29+B26)/2</f>
        <v>4.028181818181818</v>
      </c>
      <c r="C33" s="191">
        <f>(C29+C26)/2</f>
        <v>3.0810303030303032</v>
      </c>
      <c r="E33" t="s">
        <v>235</v>
      </c>
      <c r="F33" s="184"/>
      <c r="G33" s="184">
        <f>G31-G32</f>
        <v>0.0010000000000000009</v>
      </c>
      <c r="H33" s="184"/>
      <c r="I33" s="184">
        <f>I31-I32</f>
        <v>-0.10000000000000009</v>
      </c>
      <c r="J33" s="11"/>
      <c r="K33" s="341"/>
      <c r="L33" s="341"/>
      <c r="M33" s="341"/>
      <c r="N33" s="333"/>
      <c r="O33" s="233"/>
      <c r="P33" s="333"/>
      <c r="Q33" s="333"/>
      <c r="R33" s="333"/>
      <c r="S33" s="191"/>
      <c r="T33" s="373"/>
      <c r="U33" s="376">
        <f t="shared" si="6"/>
        <v>0</v>
      </c>
      <c r="V33" s="376">
        <f t="shared" si="2"/>
        <v>0</v>
      </c>
      <c r="W33" s="376">
        <f t="shared" si="3"/>
        <v>0</v>
      </c>
      <c r="X33" s="378">
        <f t="shared" si="4"/>
        <v>0</v>
      </c>
      <c r="Y33" s="333"/>
      <c r="Z33" s="333"/>
      <c r="AA33" s="333"/>
      <c r="AB33" s="333"/>
      <c r="AC33" s="191"/>
      <c r="AE33" s="1" t="s">
        <v>271</v>
      </c>
      <c r="AF33" s="314">
        <v>5.4</v>
      </c>
      <c r="AG33" s="315"/>
      <c r="AH33" s="1" t="s">
        <v>272</v>
      </c>
      <c r="AI33" s="314">
        <v>120</v>
      </c>
    </row>
    <row r="34" spans="1:35" ht="13.5" thickBot="1">
      <c r="A34" s="186"/>
      <c r="B34" s="191"/>
      <c r="C34" s="191"/>
      <c r="E34" t="s">
        <v>240</v>
      </c>
      <c r="F34" s="184"/>
      <c r="G34" s="184">
        <f>G33/G10</f>
        <v>0.000999999999999978</v>
      </c>
      <c r="H34" s="184"/>
      <c r="I34" s="184">
        <f>I33/I10</f>
        <v>0.09999999999999779</v>
      </c>
      <c r="K34" s="342"/>
      <c r="L34" s="342"/>
      <c r="M34" s="342"/>
      <c r="N34" s="333"/>
      <c r="O34" s="233"/>
      <c r="P34" s="333"/>
      <c r="Q34" s="333"/>
      <c r="R34" s="333"/>
      <c r="S34" s="191"/>
      <c r="T34" s="373"/>
      <c r="U34" s="376">
        <f t="shared" si="6"/>
        <v>0</v>
      </c>
      <c r="V34" s="376">
        <f t="shared" si="2"/>
        <v>0</v>
      </c>
      <c r="W34" s="376">
        <f t="shared" si="3"/>
        <v>0</v>
      </c>
      <c r="X34" s="378">
        <f t="shared" si="4"/>
        <v>0</v>
      </c>
      <c r="Y34" s="333"/>
      <c r="Z34" s="333"/>
      <c r="AA34" s="333"/>
      <c r="AB34" s="333"/>
      <c r="AC34" s="191"/>
      <c r="AE34" s="1"/>
      <c r="AF34" s="315"/>
      <c r="AG34" s="315"/>
      <c r="AH34" s="1"/>
      <c r="AI34" s="315"/>
    </row>
    <row r="35" spans="1:35" ht="13.5" thickBot="1">
      <c r="A35" s="186" t="s">
        <v>273</v>
      </c>
      <c r="B35" s="331">
        <v>4.05</v>
      </c>
      <c r="C35" s="331">
        <v>2.84</v>
      </c>
      <c r="E35" t="s">
        <v>242</v>
      </c>
      <c r="F35" s="184" t="s">
        <v>274</v>
      </c>
      <c r="G35" s="195">
        <f>G31-(G34*G11)</f>
        <v>0.38364340134297487</v>
      </c>
      <c r="H35" s="184"/>
      <c r="I35" s="195">
        <f>I31-(I34*I11)</f>
        <v>1.4228575886707904</v>
      </c>
      <c r="K35" s="342"/>
      <c r="L35" s="342"/>
      <c r="M35" s="342"/>
      <c r="N35" s="333"/>
      <c r="O35" s="233"/>
      <c r="P35" s="333"/>
      <c r="Q35" s="333"/>
      <c r="R35" s="333"/>
      <c r="S35" s="191"/>
      <c r="T35" s="373"/>
      <c r="U35" s="376">
        <f t="shared" si="6"/>
        <v>0</v>
      </c>
      <c r="V35" s="376">
        <f t="shared" si="2"/>
        <v>0</v>
      </c>
      <c r="W35" s="376">
        <f t="shared" si="3"/>
        <v>0</v>
      </c>
      <c r="X35" s="378">
        <f t="shared" si="4"/>
        <v>0</v>
      </c>
      <c r="Y35" s="333"/>
      <c r="Z35" s="333"/>
      <c r="AA35" s="333"/>
      <c r="AB35" s="333"/>
      <c r="AC35" s="191"/>
      <c r="AE35" s="1" t="s">
        <v>275</v>
      </c>
      <c r="AF35" s="314">
        <v>5.65</v>
      </c>
      <c r="AG35" s="315"/>
      <c r="AH35" s="316" t="s">
        <v>276</v>
      </c>
      <c r="AI35" s="317">
        <f>AI33+(AI37-AI33)/(AF37-AF33)*(AF35-AF33)</f>
        <v>107.49999999999996</v>
      </c>
    </row>
    <row r="36" spans="1:35" ht="12.75">
      <c r="A36" s="186" t="s">
        <v>277</v>
      </c>
      <c r="B36" s="331">
        <v>4.05</v>
      </c>
      <c r="C36" s="331">
        <v>2.93</v>
      </c>
      <c r="F36" s="184"/>
      <c r="G36" s="185"/>
      <c r="H36" s="184"/>
      <c r="I36" s="185"/>
      <c r="K36" s="342"/>
      <c r="L36" s="342"/>
      <c r="M36" s="342"/>
      <c r="N36" s="333"/>
      <c r="O36" s="233"/>
      <c r="P36" s="333"/>
      <c r="Q36" s="333"/>
      <c r="R36" s="333"/>
      <c r="S36" s="193">
        <f>R38*Q38</f>
        <v>0</v>
      </c>
      <c r="T36" s="373"/>
      <c r="U36" s="376">
        <f t="shared" si="6"/>
        <v>0</v>
      </c>
      <c r="V36" s="376">
        <f t="shared" si="2"/>
        <v>0</v>
      </c>
      <c r="W36" s="376">
        <f t="shared" si="3"/>
        <v>0</v>
      </c>
      <c r="X36" s="378">
        <f t="shared" si="4"/>
        <v>0</v>
      </c>
      <c r="Y36" s="333"/>
      <c r="Z36" s="333"/>
      <c r="AA36" s="333"/>
      <c r="AB36" s="333"/>
      <c r="AC36" s="191"/>
      <c r="AE36" s="1"/>
      <c r="AF36" s="315"/>
      <c r="AG36" s="315"/>
      <c r="AH36" s="1"/>
      <c r="AI36" s="315"/>
    </row>
    <row r="37" spans="1:35" ht="12.75">
      <c r="A37" s="186" t="s">
        <v>278</v>
      </c>
      <c r="B37" s="191">
        <f>(B35+B36)/2</f>
        <v>4.05</v>
      </c>
      <c r="C37" s="191">
        <f>(C35+C36)/2</f>
        <v>2.885</v>
      </c>
      <c r="E37" s="183" t="s">
        <v>279</v>
      </c>
      <c r="F37" s="184"/>
      <c r="G37" s="185"/>
      <c r="H37" s="184"/>
      <c r="I37" s="185"/>
      <c r="K37" s="342"/>
      <c r="L37" s="342"/>
      <c r="M37" s="342"/>
      <c r="N37" s="333"/>
      <c r="O37" s="233"/>
      <c r="P37" s="333"/>
      <c r="Q37" s="333"/>
      <c r="R37" s="333"/>
      <c r="S37" s="199">
        <f>SUM(S7:S36)</f>
        <v>2.05</v>
      </c>
      <c r="T37" s="373"/>
      <c r="U37" s="376">
        <f t="shared" si="6"/>
        <v>0</v>
      </c>
      <c r="V37" s="376">
        <f t="shared" si="2"/>
        <v>0</v>
      </c>
      <c r="W37" s="376">
        <f t="shared" si="3"/>
        <v>0</v>
      </c>
      <c r="X37" s="378">
        <f t="shared" si="4"/>
        <v>0</v>
      </c>
      <c r="Y37" s="333"/>
      <c r="Z37" s="333"/>
      <c r="AA37" s="333"/>
      <c r="AB37" s="333"/>
      <c r="AC37" s="191"/>
      <c r="AE37" s="1" t="s">
        <v>280</v>
      </c>
      <c r="AF37" s="314">
        <v>5.6</v>
      </c>
      <c r="AG37" s="315"/>
      <c r="AH37" s="1" t="s">
        <v>272</v>
      </c>
      <c r="AI37" s="314">
        <v>110</v>
      </c>
    </row>
    <row r="38" spans="1:29" ht="12.75">
      <c r="A38" s="186"/>
      <c r="B38" s="191"/>
      <c r="C38" s="191"/>
      <c r="E38" t="s">
        <v>281</v>
      </c>
      <c r="F38" s="184">
        <f>G7</f>
        <v>3.89</v>
      </c>
      <c r="G38" s="340">
        <v>0.333</v>
      </c>
      <c r="H38" s="184">
        <f>I7</f>
        <v>2.9</v>
      </c>
      <c r="I38" s="340">
        <v>1</v>
      </c>
      <c r="K38" s="236"/>
      <c r="L38" s="236"/>
      <c r="M38" s="236"/>
      <c r="N38" s="237"/>
      <c r="O38" s="238"/>
      <c r="P38" s="237"/>
      <c r="Q38" s="237"/>
      <c r="R38" s="237"/>
      <c r="S38" s="185"/>
      <c r="T38" s="373"/>
      <c r="U38" s="236"/>
      <c r="V38" s="236"/>
      <c r="W38" s="236"/>
      <c r="X38" s="237"/>
      <c r="Y38" s="237"/>
      <c r="Z38" s="237"/>
      <c r="AA38" s="237"/>
      <c r="AB38" s="237"/>
      <c r="AC38" s="191"/>
    </row>
    <row r="39" spans="1:29" ht="12.75">
      <c r="A39" s="186" t="s">
        <v>282</v>
      </c>
      <c r="B39" s="191">
        <f>(B10*B31)/B12</f>
        <v>0.002518078512396696</v>
      </c>
      <c r="C39" s="191">
        <f>(C10*C31)/C12</f>
        <v>0.011037577479338846</v>
      </c>
      <c r="E39" t="s">
        <v>283</v>
      </c>
      <c r="F39" s="184">
        <f>G8</f>
        <v>3.88</v>
      </c>
      <c r="G39" s="340">
        <v>0.332</v>
      </c>
      <c r="H39" s="184">
        <f>I8</f>
        <v>2.91</v>
      </c>
      <c r="I39" s="340">
        <v>1.1</v>
      </c>
      <c r="K39" s="198" t="s">
        <v>284</v>
      </c>
      <c r="L39" s="198"/>
      <c r="M39" s="198"/>
      <c r="N39" s="199">
        <f>SUM(N7:N38)</f>
        <v>1847.6469999999997</v>
      </c>
      <c r="O39" s="200"/>
      <c r="P39" s="199"/>
      <c r="Q39" s="199">
        <f>SUM(Q7:Q38)</f>
        <v>92</v>
      </c>
      <c r="R39" s="199"/>
      <c r="S39" s="185"/>
      <c r="T39" s="221"/>
      <c r="U39" s="198" t="s">
        <v>284</v>
      </c>
      <c r="V39" s="198"/>
      <c r="W39" s="198"/>
      <c r="X39" s="199">
        <f>SUM(X7:X38)</f>
        <v>1847.6469999999997</v>
      </c>
      <c r="Y39" s="199"/>
      <c r="Z39" s="199"/>
      <c r="AA39" s="199">
        <f>SUM(AA7:AA38)</f>
        <v>1847.6469999999997</v>
      </c>
      <c r="AB39" s="199"/>
      <c r="AC39" s="199" t="e">
        <f>SUM(AC7:AC38)</f>
        <v>#VALUE!</v>
      </c>
    </row>
    <row r="40" spans="1:29" ht="12.75">
      <c r="A40" s="186" t="s">
        <v>285</v>
      </c>
      <c r="B40" s="191">
        <f>B37+B39</f>
        <v>4.052518078512397</v>
      </c>
      <c r="C40" s="191">
        <f>C37+C39</f>
        <v>2.8960375774793388</v>
      </c>
      <c r="E40" t="s">
        <v>235</v>
      </c>
      <c r="F40" s="184"/>
      <c r="G40" s="184">
        <f>G38-G39</f>
        <v>0.0010000000000000009</v>
      </c>
      <c r="H40" s="184"/>
      <c r="I40" s="184">
        <f>I38-I39</f>
        <v>-0.10000000000000009</v>
      </c>
      <c r="N40" s="185"/>
      <c r="O40" s="185"/>
      <c r="P40" s="185"/>
      <c r="Q40" s="185"/>
      <c r="R40" s="185"/>
      <c r="S40" s="345"/>
      <c r="T40" s="185"/>
      <c r="X40" s="185"/>
      <c r="Y40" s="185"/>
      <c r="Z40" s="185"/>
      <c r="AA40" s="185"/>
      <c r="AB40" s="185"/>
      <c r="AC40" s="185"/>
    </row>
    <row r="41" spans="1:29" ht="12.75">
      <c r="A41" s="186"/>
      <c r="B41" s="191"/>
      <c r="C41" s="191"/>
      <c r="E41" t="s">
        <v>240</v>
      </c>
      <c r="F41" s="184"/>
      <c r="G41" s="184">
        <f>G40/G10</f>
        <v>0.000999999999999978</v>
      </c>
      <c r="H41" s="184"/>
      <c r="I41" s="184">
        <f>I40/I10</f>
        <v>0.09999999999999779</v>
      </c>
      <c r="N41" s="185"/>
      <c r="O41" s="185"/>
      <c r="P41" s="185"/>
      <c r="Q41" s="185"/>
      <c r="R41" s="185"/>
      <c r="S41" s="339"/>
      <c r="T41" s="185"/>
      <c r="X41" s="185"/>
      <c r="Y41" s="185"/>
      <c r="Z41" s="185"/>
      <c r="AA41" s="185"/>
      <c r="AB41" s="185"/>
      <c r="AC41" s="185"/>
    </row>
    <row r="42" spans="1:29" ht="12.75">
      <c r="A42" s="186" t="s">
        <v>286</v>
      </c>
      <c r="B42" s="191">
        <f>B33-B40</f>
        <v>-0.02433626033057834</v>
      </c>
      <c r="C42" s="191">
        <f>C33-C40</f>
        <v>0.18499272555096447</v>
      </c>
      <c r="E42" t="s">
        <v>242</v>
      </c>
      <c r="F42" s="184" t="s">
        <v>287</v>
      </c>
      <c r="G42" s="184">
        <f>G38-(G41*G11)</f>
        <v>0.3486434013429749</v>
      </c>
      <c r="H42" s="184"/>
      <c r="I42" s="184">
        <f>I38-(I41*I11)</f>
        <v>1.4228575886707904</v>
      </c>
      <c r="K42" s="202" t="s">
        <v>288</v>
      </c>
      <c r="L42" s="202"/>
      <c r="M42" s="202"/>
      <c r="N42" s="188"/>
      <c r="O42" s="189"/>
      <c r="P42" s="188"/>
      <c r="Q42" s="189"/>
      <c r="R42" s="188"/>
      <c r="S42" s="339">
        <v>70</v>
      </c>
      <c r="T42" s="343"/>
      <c r="U42" s="202" t="s">
        <v>288</v>
      </c>
      <c r="V42" s="202"/>
      <c r="W42" s="202"/>
      <c r="X42" s="188"/>
      <c r="Y42" s="377"/>
      <c r="Z42" s="239"/>
      <c r="AA42" s="231"/>
      <c r="AB42" s="240"/>
      <c r="AC42" s="332"/>
    </row>
    <row r="43" spans="1:29" ht="12.75">
      <c r="A43" s="186"/>
      <c r="B43" s="191"/>
      <c r="C43" s="191"/>
      <c r="F43" s="184" t="s">
        <v>250</v>
      </c>
      <c r="G43" s="195">
        <f>B7/2-((B7*G42)/(G42+G35))</f>
        <v>2.688495808990183</v>
      </c>
      <c r="H43" s="184"/>
      <c r="I43" s="195">
        <f>B7/2-((B7*I42)/(I42+I35))</f>
        <v>0</v>
      </c>
      <c r="K43" s="67"/>
      <c r="L43" s="67"/>
      <c r="M43" s="67"/>
      <c r="N43" s="232"/>
      <c r="O43" s="233"/>
      <c r="P43" s="232"/>
      <c r="Q43" s="233"/>
      <c r="R43" s="232"/>
      <c r="S43" s="339">
        <v>7.5</v>
      </c>
      <c r="T43" s="374"/>
      <c r="U43" s="67"/>
      <c r="V43" s="67"/>
      <c r="W43" s="67"/>
      <c r="X43" s="232"/>
      <c r="Y43" s="242"/>
      <c r="Z43" s="242"/>
      <c r="AA43" s="232"/>
      <c r="AB43" s="233"/>
      <c r="AC43" s="333"/>
    </row>
    <row r="44" spans="1:29" ht="12.75">
      <c r="A44" s="205" t="s">
        <v>289</v>
      </c>
      <c r="B44" s="199">
        <f>(B26+B29+6*B40)/8</f>
        <v>4.046434013429752</v>
      </c>
      <c r="C44" s="199">
        <f>(C26+C29+6*C40)/8</f>
        <v>2.94228575886708</v>
      </c>
      <c r="F44" s="184" t="s">
        <v>250</v>
      </c>
      <c r="G44" s="195">
        <f>IF(G38=0,"",G43)</f>
        <v>2.688495808990183</v>
      </c>
      <c r="H44" s="184"/>
      <c r="I44" s="195">
        <f>IF(I38=0,"",I43)</f>
        <v>0</v>
      </c>
      <c r="K44" s="67" t="s">
        <v>290</v>
      </c>
      <c r="L44" s="67"/>
      <c r="M44" s="67"/>
      <c r="N44" s="232"/>
      <c r="O44" s="233"/>
      <c r="P44" s="232"/>
      <c r="Q44" s="233"/>
      <c r="R44" s="232"/>
      <c r="S44" s="339"/>
      <c r="T44" s="374"/>
      <c r="U44" s="67" t="s">
        <v>290</v>
      </c>
      <c r="V44" s="67"/>
      <c r="W44" s="67"/>
      <c r="X44" s="232"/>
      <c r="Y44" s="242"/>
      <c r="Z44" s="242"/>
      <c r="AA44" s="232"/>
      <c r="AB44" s="233"/>
      <c r="AC44" s="333">
        <v>68</v>
      </c>
    </row>
    <row r="45" spans="6:37" ht="12.75">
      <c r="F45" s="184"/>
      <c r="G45" s="185"/>
      <c r="H45" s="184"/>
      <c r="I45" s="185"/>
      <c r="K45" s="67" t="s">
        <v>366</v>
      </c>
      <c r="L45" s="67"/>
      <c r="M45" s="67"/>
      <c r="N45" s="232"/>
      <c r="O45" s="233"/>
      <c r="P45" s="232"/>
      <c r="Q45" s="233"/>
      <c r="R45" s="232"/>
      <c r="S45" s="211">
        <f>SUM(S40:S44)</f>
        <v>77.5</v>
      </c>
      <c r="T45" s="374"/>
      <c r="U45" s="67" t="str">
        <f>K45</f>
        <v>Boiler water</v>
      </c>
      <c r="V45" s="67"/>
      <c r="W45" s="67"/>
      <c r="X45" s="232"/>
      <c r="Y45" s="242"/>
      <c r="Z45" s="242"/>
      <c r="AA45" s="232"/>
      <c r="AB45" s="233"/>
      <c r="AC45" s="333">
        <v>7.5</v>
      </c>
      <c r="AI45" s="18" t="s">
        <v>291</v>
      </c>
      <c r="AJ45" s="18" t="s">
        <v>291</v>
      </c>
      <c r="AK45" s="18" t="s">
        <v>291</v>
      </c>
    </row>
    <row r="46" spans="1:37" ht="12.75">
      <c r="A46" s="206" t="s">
        <v>292</v>
      </c>
      <c r="B46" s="187"/>
      <c r="C46" s="9"/>
      <c r="E46" s="183" t="s">
        <v>293</v>
      </c>
      <c r="F46" s="184"/>
      <c r="G46" s="185"/>
      <c r="H46" s="184"/>
      <c r="I46" s="185"/>
      <c r="K46" s="67"/>
      <c r="L46" s="67"/>
      <c r="M46" s="67"/>
      <c r="N46" s="232"/>
      <c r="O46" s="233"/>
      <c r="P46" s="232"/>
      <c r="Q46" s="233"/>
      <c r="R46" s="232"/>
      <c r="S46" s="185"/>
      <c r="T46" s="374"/>
      <c r="U46" s="67"/>
      <c r="V46" s="67"/>
      <c r="W46" s="67"/>
      <c r="X46" s="232"/>
      <c r="Y46" s="242"/>
      <c r="Z46" s="243"/>
      <c r="AA46" s="237"/>
      <c r="AB46" s="238"/>
      <c r="AC46" s="347"/>
      <c r="AI46" s="18" t="s">
        <v>294</v>
      </c>
      <c r="AJ46" s="18" t="s">
        <v>295</v>
      </c>
      <c r="AK46" s="18" t="s">
        <v>296</v>
      </c>
    </row>
    <row r="47" spans="1:37" ht="12.75">
      <c r="A47" s="10" t="s">
        <v>297</v>
      </c>
      <c r="B47" s="191">
        <f>S50</f>
        <v>0</v>
      </c>
      <c r="C47" s="208">
        <f>AC52</f>
        <v>0</v>
      </c>
      <c r="E47" t="s">
        <v>298</v>
      </c>
      <c r="F47" s="184">
        <f>G7</f>
        <v>3.89</v>
      </c>
      <c r="G47" s="340">
        <v>14.33</v>
      </c>
      <c r="H47" s="184">
        <f>I7</f>
        <v>2.9</v>
      </c>
      <c r="I47" s="340">
        <v>13.75</v>
      </c>
      <c r="K47" s="178" t="s">
        <v>299</v>
      </c>
      <c r="L47" s="178"/>
      <c r="M47" s="178"/>
      <c r="N47" s="209"/>
      <c r="O47" s="210"/>
      <c r="P47" s="209"/>
      <c r="Q47" s="210"/>
      <c r="R47" s="209"/>
      <c r="S47" s="185"/>
      <c r="T47" s="221"/>
      <c r="U47" s="178" t="s">
        <v>299</v>
      </c>
      <c r="V47" s="178"/>
      <c r="W47" s="178"/>
      <c r="X47" s="209"/>
      <c r="Y47" s="212"/>
      <c r="Z47" s="212"/>
      <c r="AA47" s="209"/>
      <c r="AB47" s="210"/>
      <c r="AC47" s="199">
        <f>SUM(AC41:AC46)</f>
        <v>75.5</v>
      </c>
      <c r="AJ47" s="18"/>
      <c r="AK47" s="18"/>
    </row>
    <row r="48" spans="1:37" ht="12.75">
      <c r="A48" s="10" t="s">
        <v>300</v>
      </c>
      <c r="B48" s="191">
        <f>S51</f>
        <v>12</v>
      </c>
      <c r="C48" s="208">
        <f>AC53</f>
        <v>59</v>
      </c>
      <c r="E48" t="s">
        <v>301</v>
      </c>
      <c r="F48" s="184">
        <f>G8</f>
        <v>3.88</v>
      </c>
      <c r="G48" s="340">
        <v>14.33</v>
      </c>
      <c r="H48" s="184">
        <f>I8</f>
        <v>2.91</v>
      </c>
      <c r="I48" s="340">
        <v>13.76</v>
      </c>
      <c r="N48" s="185"/>
      <c r="O48" s="185"/>
      <c r="P48" s="185"/>
      <c r="Q48" s="185"/>
      <c r="R48" s="185"/>
      <c r="S48" s="203"/>
      <c r="T48" s="185"/>
      <c r="X48" s="185"/>
      <c r="Y48" s="185"/>
      <c r="Z48" s="185"/>
      <c r="AA48" s="185"/>
      <c r="AB48" s="185"/>
      <c r="AC48" s="185"/>
      <c r="AI48" s="318">
        <v>1</v>
      </c>
      <c r="AJ48" s="318">
        <v>1.5</v>
      </c>
      <c r="AK48" s="318">
        <v>2</v>
      </c>
    </row>
    <row r="49" spans="1:37" ht="12.75">
      <c r="A49" s="10" t="s">
        <v>302</v>
      </c>
      <c r="B49" s="191">
        <f>S37</f>
        <v>2.05</v>
      </c>
      <c r="C49" s="208" t="e">
        <f>AC39</f>
        <v>#VALUE!</v>
      </c>
      <c r="E49" t="s">
        <v>235</v>
      </c>
      <c r="F49" s="184"/>
      <c r="G49" s="184">
        <f>G47-G48</f>
        <v>0</v>
      </c>
      <c r="H49" s="184"/>
      <c r="I49" s="184">
        <f>I47-I48</f>
        <v>-0.009999999999999787</v>
      </c>
      <c r="N49" s="185"/>
      <c r="O49" s="185"/>
      <c r="P49" s="185"/>
      <c r="Q49" s="185"/>
      <c r="R49" s="185"/>
      <c r="S49" s="241"/>
      <c r="T49" s="185"/>
      <c r="X49" s="185"/>
      <c r="Y49" s="185"/>
      <c r="Z49" s="185"/>
      <c r="AA49" s="185"/>
      <c r="AB49" s="185"/>
      <c r="AC49" s="185"/>
      <c r="AJ49" s="18"/>
      <c r="AK49" s="18"/>
    </row>
    <row r="50" spans="1:37" ht="12.75">
      <c r="A50" s="10" t="s">
        <v>303</v>
      </c>
      <c r="B50" s="191">
        <f>S45</f>
        <v>77.5</v>
      </c>
      <c r="C50" s="208">
        <f>AC47</f>
        <v>75.5</v>
      </c>
      <c r="E50" t="s">
        <v>240</v>
      </c>
      <c r="F50" s="184"/>
      <c r="G50" s="184">
        <f>G49/G10</f>
        <v>0</v>
      </c>
      <c r="H50" s="184"/>
      <c r="I50" s="184">
        <f>I49/I10</f>
        <v>0.009999999999999556</v>
      </c>
      <c r="K50" s="206" t="s">
        <v>304</v>
      </c>
      <c r="L50" s="206"/>
      <c r="M50" s="206"/>
      <c r="N50" s="188"/>
      <c r="O50" s="189"/>
      <c r="P50" s="188"/>
      <c r="Q50" s="189"/>
      <c r="R50" s="188"/>
      <c r="S50" s="339"/>
      <c r="T50" s="324"/>
      <c r="U50" s="206" t="s">
        <v>304</v>
      </c>
      <c r="V50" s="206"/>
      <c r="W50" s="206"/>
      <c r="X50" s="188"/>
      <c r="Y50" s="377"/>
      <c r="Z50" s="239"/>
      <c r="AA50" s="231"/>
      <c r="AB50" s="240"/>
      <c r="AC50" s="231"/>
      <c r="AJ50" s="18"/>
      <c r="AK50" s="18"/>
    </row>
    <row r="51" spans="1:37" ht="12.75">
      <c r="A51" s="10" t="s">
        <v>305</v>
      </c>
      <c r="B51" s="191">
        <f>S52</f>
        <v>1.98</v>
      </c>
      <c r="C51" s="208">
        <f>AC54</f>
        <v>1.98</v>
      </c>
      <c r="E51" t="s">
        <v>242</v>
      </c>
      <c r="F51" s="184" t="s">
        <v>306</v>
      </c>
      <c r="G51" s="195">
        <f>G47-(G50*G11)</f>
        <v>14.33</v>
      </c>
      <c r="H51" s="184"/>
      <c r="I51" s="195">
        <f>I47-(I50*I11)</f>
        <v>13.792285758867077</v>
      </c>
      <c r="K51" s="67"/>
      <c r="L51" s="67"/>
      <c r="M51" s="67"/>
      <c r="N51" s="232"/>
      <c r="O51" s="233"/>
      <c r="P51" s="232"/>
      <c r="Q51" s="233"/>
      <c r="R51" s="232"/>
      <c r="S51" s="339">
        <v>12</v>
      </c>
      <c r="T51" s="233"/>
      <c r="U51" s="67"/>
      <c r="V51" s="67"/>
      <c r="W51" s="67"/>
      <c r="X51" s="232"/>
      <c r="Y51" s="242"/>
      <c r="Z51" s="242"/>
      <c r="AA51" s="232"/>
      <c r="AB51" s="233"/>
      <c r="AC51" s="232"/>
      <c r="AE51" s="1" t="s">
        <v>271</v>
      </c>
      <c r="AF51" s="314">
        <v>5.4</v>
      </c>
      <c r="AG51" s="315"/>
      <c r="AH51" s="1" t="s">
        <v>272</v>
      </c>
      <c r="AI51" s="314">
        <v>120</v>
      </c>
      <c r="AJ51" s="315"/>
      <c r="AK51" s="314">
        <v>160</v>
      </c>
    </row>
    <row r="52" spans="1:37" ht="13.5" thickBot="1">
      <c r="A52" s="10" t="s">
        <v>307</v>
      </c>
      <c r="B52" s="191">
        <f>S53</f>
        <v>0.55</v>
      </c>
      <c r="C52" s="208">
        <f>AC55</f>
        <v>1</v>
      </c>
      <c r="F52" s="184"/>
      <c r="G52" s="185"/>
      <c r="H52" s="184"/>
      <c r="I52" s="185"/>
      <c r="K52" s="67" t="s">
        <v>308</v>
      </c>
      <c r="L52" s="67"/>
      <c r="M52" s="67"/>
      <c r="N52" s="232"/>
      <c r="O52" s="233"/>
      <c r="P52" s="232"/>
      <c r="Q52" s="233"/>
      <c r="R52" s="232"/>
      <c r="S52" s="339">
        <v>1.98</v>
      </c>
      <c r="T52" s="374"/>
      <c r="U52" s="67" t="s">
        <v>308</v>
      </c>
      <c r="V52" s="67"/>
      <c r="W52" s="67"/>
      <c r="X52" s="232"/>
      <c r="Y52" s="242"/>
      <c r="Z52" s="242"/>
      <c r="AA52" s="232"/>
      <c r="AB52" s="233"/>
      <c r="AC52" s="333"/>
      <c r="AE52" s="1"/>
      <c r="AF52" s="315"/>
      <c r="AG52" s="315"/>
      <c r="AH52" s="1"/>
      <c r="AI52" s="315"/>
      <c r="AJ52" s="315"/>
      <c r="AK52" s="315"/>
    </row>
    <row r="53" spans="1:37" ht="14.25" thickBot="1" thickTop="1">
      <c r="A53" s="213" t="s">
        <v>309</v>
      </c>
      <c r="B53" s="195">
        <f>SUM(B47:B52)</f>
        <v>94.08</v>
      </c>
      <c r="C53" s="214" t="e">
        <f>SUM(C47:C52)</f>
        <v>#VALUE!</v>
      </c>
      <c r="E53" s="183" t="s">
        <v>310</v>
      </c>
      <c r="F53" s="184"/>
      <c r="G53" s="185"/>
      <c r="H53" s="184"/>
      <c r="I53" s="185"/>
      <c r="K53" s="67" t="s">
        <v>311</v>
      </c>
      <c r="L53" s="67"/>
      <c r="M53" s="67"/>
      <c r="N53" s="232"/>
      <c r="O53" s="233"/>
      <c r="P53" s="232"/>
      <c r="Q53" s="233"/>
      <c r="R53" s="232"/>
      <c r="S53" s="346">
        <v>0.55</v>
      </c>
      <c r="T53" s="375"/>
      <c r="U53" s="67" t="s">
        <v>311</v>
      </c>
      <c r="V53" s="67"/>
      <c r="W53" s="67"/>
      <c r="X53" s="232"/>
      <c r="Y53" s="242"/>
      <c r="Z53" s="242"/>
      <c r="AA53" s="232"/>
      <c r="AB53" s="233"/>
      <c r="AC53" s="333">
        <v>59</v>
      </c>
      <c r="AE53" s="1" t="s">
        <v>275</v>
      </c>
      <c r="AF53" s="314">
        <v>5.5</v>
      </c>
      <c r="AG53" s="315"/>
      <c r="AH53" s="316" t="s">
        <v>276</v>
      </c>
      <c r="AI53" s="317">
        <f>AI51+(AI55-AI51)/(AF55-AF51)*(AF53-AF51)</f>
        <v>115</v>
      </c>
      <c r="AJ53" s="322">
        <f>AI53+(AK53-AI53)/(AK48-AI48)*(AJ48-AI48)</f>
        <v>140</v>
      </c>
      <c r="AK53" s="317">
        <f>AK51+(AK55-AK51)/(AF55-AF51)*(AF53-AF51)</f>
        <v>165</v>
      </c>
    </row>
    <row r="54" spans="2:37" ht="12.75">
      <c r="B54" s="184"/>
      <c r="E54" t="s">
        <v>312</v>
      </c>
      <c r="F54" s="184">
        <f>G7</f>
        <v>3.89</v>
      </c>
      <c r="G54" s="340">
        <v>5068.93</v>
      </c>
      <c r="H54" s="184">
        <f>I7</f>
        <v>2.9</v>
      </c>
      <c r="I54" s="340">
        <v>3671.87</v>
      </c>
      <c r="K54" s="67" t="s">
        <v>305</v>
      </c>
      <c r="L54" s="67"/>
      <c r="M54" s="67"/>
      <c r="N54" s="232"/>
      <c r="O54" s="233"/>
      <c r="P54" s="232"/>
      <c r="Q54" s="233"/>
      <c r="R54" s="232"/>
      <c r="S54" s="211">
        <f>SUM(S50:S53)</f>
        <v>14.530000000000001</v>
      </c>
      <c r="T54" s="374"/>
      <c r="U54" s="67" t="s">
        <v>305</v>
      </c>
      <c r="V54" s="67"/>
      <c r="W54" s="67"/>
      <c r="X54" s="232"/>
      <c r="Y54" s="242"/>
      <c r="Z54" s="242"/>
      <c r="AA54" s="232"/>
      <c r="AB54" s="233"/>
      <c r="AC54" s="333">
        <f>S52</f>
        <v>1.98</v>
      </c>
      <c r="AE54" s="1"/>
      <c r="AF54" s="315"/>
      <c r="AG54" s="315"/>
      <c r="AH54" s="1"/>
      <c r="AI54" s="315"/>
      <c r="AJ54" s="315"/>
      <c r="AK54" s="315"/>
    </row>
    <row r="55" spans="1:37" ht="12.75">
      <c r="A55" s="206" t="s">
        <v>313</v>
      </c>
      <c r="B55" s="215"/>
      <c r="C55" s="9"/>
      <c r="E55" t="s">
        <v>314</v>
      </c>
      <c r="F55" s="184">
        <f>G8</f>
        <v>3.88</v>
      </c>
      <c r="G55" s="340">
        <v>5054.54</v>
      </c>
      <c r="H55" s="184">
        <f>I8</f>
        <v>2.91</v>
      </c>
      <c r="I55" s="340">
        <v>3685.69</v>
      </c>
      <c r="K55" s="281" t="s">
        <v>315</v>
      </c>
      <c r="L55" s="281"/>
      <c r="M55" s="281"/>
      <c r="N55" s="237"/>
      <c r="O55" s="238"/>
      <c r="P55" s="237"/>
      <c r="Q55" s="238"/>
      <c r="R55" s="237"/>
      <c r="S55" s="201"/>
      <c r="T55" s="374"/>
      <c r="U55" s="281" t="s">
        <v>315</v>
      </c>
      <c r="V55" s="281"/>
      <c r="W55" s="281"/>
      <c r="X55" s="237"/>
      <c r="Y55" s="243"/>
      <c r="Z55" s="243"/>
      <c r="AA55" s="237"/>
      <c r="AB55" s="238"/>
      <c r="AC55" s="347">
        <v>1</v>
      </c>
      <c r="AE55" s="1" t="s">
        <v>280</v>
      </c>
      <c r="AF55" s="314">
        <v>5.6</v>
      </c>
      <c r="AG55" s="315"/>
      <c r="AH55" s="1" t="s">
        <v>272</v>
      </c>
      <c r="AI55" s="314">
        <v>110</v>
      </c>
      <c r="AJ55" s="315"/>
      <c r="AK55" s="314">
        <v>170</v>
      </c>
    </row>
    <row r="56" spans="1:29" ht="12.75">
      <c r="A56" s="10" t="s">
        <v>316</v>
      </c>
      <c r="B56" s="337">
        <f>G21</f>
        <v>2.734147210743842</v>
      </c>
      <c r="C56" s="338">
        <f>I21</f>
        <v>1.425971486527196</v>
      </c>
      <c r="E56" t="s">
        <v>235</v>
      </c>
      <c r="F56" s="184"/>
      <c r="G56" s="184">
        <f>G54-G55</f>
        <v>14.390000000000327</v>
      </c>
      <c r="H56" s="184"/>
      <c r="I56" s="184">
        <f>I54-I55</f>
        <v>-13.820000000000164</v>
      </c>
      <c r="K56" s="178" t="s">
        <v>317</v>
      </c>
      <c r="L56" s="178"/>
      <c r="M56" s="178"/>
      <c r="N56" s="199"/>
      <c r="O56" s="200"/>
      <c r="P56" s="199"/>
      <c r="Q56" s="200"/>
      <c r="R56" s="199"/>
      <c r="S56" s="218"/>
      <c r="T56" s="221"/>
      <c r="U56" s="178" t="s">
        <v>317</v>
      </c>
      <c r="V56" s="178"/>
      <c r="W56" s="178"/>
      <c r="X56" s="199"/>
      <c r="Y56" s="216"/>
      <c r="Z56" s="216"/>
      <c r="AA56" s="199"/>
      <c r="AB56" s="200"/>
      <c r="AC56" s="199">
        <f>SUM(AC50:AC55)</f>
        <v>61.98</v>
      </c>
    </row>
    <row r="57" spans="1:29" ht="12.75">
      <c r="A57" s="10" t="s">
        <v>318</v>
      </c>
      <c r="B57" s="191">
        <f>G51</f>
        <v>14.33</v>
      </c>
      <c r="C57" s="208">
        <f>I51</f>
        <v>13.792285758867077</v>
      </c>
      <c r="E57" t="s">
        <v>240</v>
      </c>
      <c r="F57" s="184"/>
      <c r="G57" s="184">
        <f>G56/G10</f>
        <v>14.389999999999995</v>
      </c>
      <c r="H57" s="184"/>
      <c r="I57" s="184">
        <f>I56/I10</f>
        <v>13.819999999999844</v>
      </c>
      <c r="K57" s="175"/>
      <c r="L57" s="175"/>
      <c r="M57" s="175"/>
      <c r="N57" s="201"/>
      <c r="O57" s="201"/>
      <c r="P57" s="201"/>
      <c r="Q57" s="201"/>
      <c r="R57" s="201"/>
      <c r="S57" s="222">
        <f>S37+S45+S54</f>
        <v>94.08</v>
      </c>
      <c r="T57" s="201"/>
      <c r="U57" s="175"/>
      <c r="V57" s="175"/>
      <c r="W57" s="175"/>
      <c r="X57" s="201"/>
      <c r="Y57" s="201"/>
      <c r="Z57" s="201"/>
      <c r="AA57" s="201"/>
      <c r="AB57" s="201"/>
      <c r="AC57" s="201"/>
    </row>
    <row r="58" spans="1:29" ht="12.75">
      <c r="A58" s="10" t="s">
        <v>199</v>
      </c>
      <c r="B58" s="191">
        <f>+B7</f>
        <v>112.5</v>
      </c>
      <c r="C58" s="208">
        <f>B58</f>
        <v>112.5</v>
      </c>
      <c r="E58" t="s">
        <v>242</v>
      </c>
      <c r="F58" s="184" t="s">
        <v>319</v>
      </c>
      <c r="G58" s="195">
        <f>G54-(G57*G11)</f>
        <v>5294.038545325413</v>
      </c>
      <c r="H58" s="184"/>
      <c r="I58" s="195">
        <f>I54-(I57*I11)</f>
        <v>3730.3089187543037</v>
      </c>
      <c r="K58" s="202"/>
      <c r="L58" s="354"/>
      <c r="M58" s="354"/>
      <c r="N58" s="217"/>
      <c r="O58" s="217"/>
      <c r="P58" s="217"/>
      <c r="Q58" s="217"/>
      <c r="R58" s="217"/>
      <c r="S58" s="196"/>
      <c r="T58" s="221"/>
      <c r="U58" s="202"/>
      <c r="V58" s="354"/>
      <c r="W58" s="354"/>
      <c r="X58" s="217"/>
      <c r="Y58" s="217"/>
      <c r="Z58" s="219"/>
      <c r="AA58" s="217"/>
      <c r="AB58" s="217"/>
      <c r="AC58" s="218"/>
    </row>
    <row r="59" spans="1:29" ht="12.75">
      <c r="A59" s="10" t="s">
        <v>320</v>
      </c>
      <c r="B59" s="191">
        <f>+G65</f>
        <v>128.05</v>
      </c>
      <c r="C59" s="208">
        <f>I65</f>
        <v>115.3020006241391</v>
      </c>
      <c r="F59" s="184"/>
      <c r="G59" s="185"/>
      <c r="H59" s="184"/>
      <c r="I59" s="185"/>
      <c r="K59" s="220" t="s">
        <v>321</v>
      </c>
      <c r="L59" s="355"/>
      <c r="M59" s="355"/>
      <c r="N59" s="221"/>
      <c r="O59" s="221"/>
      <c r="P59" s="221"/>
      <c r="Q59" s="221"/>
      <c r="R59" s="221"/>
      <c r="T59" s="221"/>
      <c r="U59" s="220" t="s">
        <v>321</v>
      </c>
      <c r="V59" s="355"/>
      <c r="W59" s="355"/>
      <c r="X59" s="221"/>
      <c r="Y59" s="221"/>
      <c r="Z59" s="223"/>
      <c r="AA59" s="221"/>
      <c r="AB59" s="221"/>
      <c r="AC59" s="222" t="e">
        <f>AC39+AC47+AC56</f>
        <v>#VALUE!</v>
      </c>
    </row>
    <row r="60" spans="1:29" ht="12.75">
      <c r="A60" s="10" t="s">
        <v>322</v>
      </c>
      <c r="B60" s="191">
        <f>+G72</f>
        <v>114.46</v>
      </c>
      <c r="C60" s="208">
        <f>I72</f>
        <v>101.61742910640497</v>
      </c>
      <c r="E60" s="183" t="s">
        <v>323</v>
      </c>
      <c r="F60" s="184"/>
      <c r="G60" s="185"/>
      <c r="H60" s="184"/>
      <c r="I60" s="185"/>
      <c r="K60" s="12"/>
      <c r="L60" s="2"/>
      <c r="M60" s="2"/>
      <c r="N60" s="197"/>
      <c r="O60" s="197"/>
      <c r="P60" s="197"/>
      <c r="Q60" s="197"/>
      <c r="R60" s="197"/>
      <c r="T60" s="324"/>
      <c r="U60" s="12"/>
      <c r="V60" s="2"/>
      <c r="W60" s="2"/>
      <c r="X60" s="197"/>
      <c r="Y60" s="197"/>
      <c r="Z60" s="207"/>
      <c r="AA60" s="197"/>
      <c r="AB60" s="197"/>
      <c r="AC60" s="196"/>
    </row>
    <row r="61" spans="1:9" ht="12.75">
      <c r="A61" s="10" t="s">
        <v>324</v>
      </c>
      <c r="B61" s="191">
        <f>B59-B60</f>
        <v>13.590000000000018</v>
      </c>
      <c r="C61" s="208">
        <f>C59-C60</f>
        <v>13.684571517734128</v>
      </c>
      <c r="E61" t="s">
        <v>325</v>
      </c>
      <c r="F61" s="184">
        <f>G7+0.5</f>
        <v>4.390000000000001</v>
      </c>
      <c r="G61" s="340">
        <v>128.05</v>
      </c>
      <c r="H61" s="184">
        <f>I7+0.5</f>
        <v>3.4</v>
      </c>
      <c r="I61" s="340">
        <v>114.71</v>
      </c>
    </row>
    <row r="62" spans="1:9" ht="12.75">
      <c r="A62" s="10" t="s">
        <v>326</v>
      </c>
      <c r="B62" s="333" t="s">
        <v>382</v>
      </c>
      <c r="C62" s="339">
        <v>1</v>
      </c>
      <c r="E62" t="s">
        <v>327</v>
      </c>
      <c r="F62" s="184">
        <f>G8+0.5</f>
        <v>4.38</v>
      </c>
      <c r="G62" s="340">
        <v>128.05</v>
      </c>
      <c r="H62" s="184">
        <f>I8+0.5</f>
        <v>3.41</v>
      </c>
      <c r="I62" s="340">
        <v>114.85</v>
      </c>
    </row>
    <row r="63" spans="1:9" ht="12.75">
      <c r="A63" s="10"/>
      <c r="B63" s="190"/>
      <c r="C63" s="204"/>
      <c r="E63" t="s">
        <v>235</v>
      </c>
      <c r="F63" s="184"/>
      <c r="G63" s="184">
        <f>G61-G62</f>
        <v>0</v>
      </c>
      <c r="H63" s="184"/>
      <c r="I63" s="184">
        <f>I61-I62</f>
        <v>-0.14000000000000057</v>
      </c>
    </row>
    <row r="64" spans="1:9" ht="12.75">
      <c r="A64" s="10" t="s">
        <v>328</v>
      </c>
      <c r="B64" s="191">
        <f>+G58</f>
        <v>5294.038545325413</v>
      </c>
      <c r="C64" s="208">
        <f>I58</f>
        <v>3730.3089187543037</v>
      </c>
      <c r="E64" t="s">
        <v>240</v>
      </c>
      <c r="F64" s="184"/>
      <c r="G64" s="184">
        <f>G63/G10</f>
        <v>0</v>
      </c>
      <c r="H64" s="184"/>
      <c r="I64" s="184">
        <f>I63/I10</f>
        <v>0.13999999999999735</v>
      </c>
    </row>
    <row r="65" spans="1:9" ht="12.75">
      <c r="A65" s="10" t="s">
        <v>329</v>
      </c>
      <c r="B65" s="191">
        <f>(B57*B56*B31*100)/B58</f>
        <v>17.80924069543604</v>
      </c>
      <c r="C65" s="208">
        <f>(C57*C56*C31*100)/C58</f>
        <v>39.18581695064566</v>
      </c>
      <c r="E65" t="s">
        <v>242</v>
      </c>
      <c r="F65" s="184" t="s">
        <v>330</v>
      </c>
      <c r="G65" s="195">
        <f>G61-(G64*G11)</f>
        <v>128.05</v>
      </c>
      <c r="H65" s="184"/>
      <c r="I65" s="195">
        <f>I61-(I64*I11)</f>
        <v>115.3020006241391</v>
      </c>
    </row>
    <row r="66" spans="1:9" ht="12.75">
      <c r="A66" s="10" t="s">
        <v>331</v>
      </c>
      <c r="B66" s="191">
        <f>(50*B61*B31*B31)/B58</f>
        <v>1.5794163223140538</v>
      </c>
      <c r="C66" s="208">
        <f>(50*C61*C31*C31)/C58</f>
        <v>30.557467952936225</v>
      </c>
      <c r="F66" s="184"/>
      <c r="G66" s="185"/>
      <c r="H66" s="184"/>
      <c r="I66" s="185"/>
    </row>
    <row r="67" spans="1:9" ht="12.75">
      <c r="A67" s="10" t="s">
        <v>332</v>
      </c>
      <c r="B67" s="191">
        <f>B64+B65+B66</f>
        <v>5313.427202343163</v>
      </c>
      <c r="C67" s="208">
        <f>C64+C65+C66</f>
        <v>3800.052203657886</v>
      </c>
      <c r="E67" s="183" t="s">
        <v>333</v>
      </c>
      <c r="F67" s="184"/>
      <c r="G67" s="185"/>
      <c r="H67" s="184"/>
      <c r="I67" s="185"/>
    </row>
    <row r="68" spans="1:9" ht="12.75">
      <c r="A68" s="10" t="s">
        <v>334</v>
      </c>
      <c r="B68" s="191" t="e">
        <f>(B67*B62)/1.025</f>
        <v>#VALUE!</v>
      </c>
      <c r="C68" s="208">
        <f>(C67*C62)/1.025</f>
        <v>3707.3680035686693</v>
      </c>
      <c r="E68" t="s">
        <v>325</v>
      </c>
      <c r="F68" s="184">
        <f>G7-0.5</f>
        <v>3.39</v>
      </c>
      <c r="G68" s="340">
        <v>114.46</v>
      </c>
      <c r="H68" s="184">
        <f>I7-0.5</f>
        <v>2.4</v>
      </c>
      <c r="I68" s="340">
        <v>101.11</v>
      </c>
    </row>
    <row r="69" spans="1:9" ht="12.75">
      <c r="A69" s="10" t="s">
        <v>309</v>
      </c>
      <c r="B69" s="191">
        <f>B53</f>
        <v>94.08</v>
      </c>
      <c r="C69" s="208" t="e">
        <f>C53</f>
        <v>#VALUE!</v>
      </c>
      <c r="E69" t="s">
        <v>327</v>
      </c>
      <c r="F69" s="184">
        <f>G8-0.5</f>
        <v>3.38</v>
      </c>
      <c r="G69" s="340">
        <v>114.46</v>
      </c>
      <c r="H69" s="184">
        <f>I8-0.5</f>
        <v>2.41</v>
      </c>
      <c r="I69" s="340">
        <v>101.23</v>
      </c>
    </row>
    <row r="70" spans="1:9" ht="12.75">
      <c r="A70" s="10" t="s">
        <v>335</v>
      </c>
      <c r="B70" s="191" t="e">
        <f>B68-B69</f>
        <v>#VALUE!</v>
      </c>
      <c r="C70" s="208" t="e">
        <f>C68-C69</f>
        <v>#VALUE!</v>
      </c>
      <c r="E70" t="s">
        <v>235</v>
      </c>
      <c r="F70" s="184"/>
      <c r="G70" s="184">
        <f>G68-G69</f>
        <v>0</v>
      </c>
      <c r="H70" s="184"/>
      <c r="I70" s="184">
        <f>I68-I69</f>
        <v>-0.12000000000000455</v>
      </c>
    </row>
    <row r="71" spans="1:9" ht="12.75">
      <c r="A71" s="10" t="s">
        <v>336</v>
      </c>
      <c r="B71" s="190"/>
      <c r="C71" s="208" t="e">
        <f>B70</f>
        <v>#VALUE!</v>
      </c>
      <c r="E71" t="s">
        <v>240</v>
      </c>
      <c r="F71" s="184"/>
      <c r="G71" s="184">
        <f>G70/G10</f>
        <v>0</v>
      </c>
      <c r="H71" s="184"/>
      <c r="I71" s="184">
        <f>I70/I10</f>
        <v>0.12000000000000177</v>
      </c>
    </row>
    <row r="72" spans="1:9" ht="12.75">
      <c r="A72" s="10" t="s">
        <v>221</v>
      </c>
      <c r="B72" s="333">
        <v>1742</v>
      </c>
      <c r="C72" s="208"/>
      <c r="E72" t="s">
        <v>242</v>
      </c>
      <c r="F72" s="184" t="s">
        <v>337</v>
      </c>
      <c r="G72" s="195">
        <f>G68-(G71*G11)</f>
        <v>114.46</v>
      </c>
      <c r="H72" s="184"/>
      <c r="I72" s="195">
        <f>I68-(I71*I11)</f>
        <v>101.61742910640497</v>
      </c>
    </row>
    <row r="73" spans="1:3" ht="12.75">
      <c r="A73" s="10" t="s">
        <v>224</v>
      </c>
      <c r="B73" s="380">
        <v>80</v>
      </c>
      <c r="C73" s="208"/>
    </row>
    <row r="74" spans="1:3" ht="12.75">
      <c r="A74" s="10"/>
      <c r="B74" s="191"/>
      <c r="C74" s="215"/>
    </row>
    <row r="75" spans="1:3" ht="12.75">
      <c r="A75" s="220" t="s">
        <v>338</v>
      </c>
      <c r="B75" s="190" t="e">
        <f>+B70-B72-B73</f>
        <v>#VALUE!</v>
      </c>
      <c r="C75" s="222" t="e">
        <f>ABS(C71-C70)</f>
        <v>#VALUE!</v>
      </c>
    </row>
    <row r="76" spans="1:3" ht="12.75">
      <c r="A76" s="12"/>
      <c r="B76" s="192"/>
      <c r="C76" s="192"/>
    </row>
    <row r="78" spans="2:3" ht="12.75">
      <c r="B78" s="185" t="s">
        <v>224</v>
      </c>
      <c r="C78" s="185" t="e">
        <f>C70-B72</f>
        <v>#VALUE!</v>
      </c>
    </row>
    <row r="79" spans="2:3" ht="12.75">
      <c r="B79" t="s">
        <v>354</v>
      </c>
      <c r="C79">
        <f>AF28</f>
        <v>3144.039</v>
      </c>
    </row>
    <row r="80" spans="2:3" ht="12.75">
      <c r="B80" t="s">
        <v>349</v>
      </c>
      <c r="C80" s="185" t="e">
        <f>C75-AF28</f>
        <v>#VALUE!</v>
      </c>
    </row>
  </sheetData>
  <printOptions/>
  <pageMargins left="1.968503937007874" right="0.3937007874015748" top="0" bottom="0" header="0.5118110236220472" footer="0.5118110236220472"/>
  <pageSetup horizontalDpi="360" verticalDpi="36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LANDAIS Jean Pierre</dc:creator>
  <cp:keywords/>
  <dc:description/>
  <cp:lastModifiedBy>flot</cp:lastModifiedBy>
  <cp:lastPrinted>2000-11-04T18:14:49Z</cp:lastPrinted>
  <dcterms:created xsi:type="dcterms:W3CDTF">1999-02-24T13:30:53Z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