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9630" windowHeight="4725" activeTab="0"/>
  </bookViews>
  <sheets>
    <sheet name="Hoja1" sheetId="1" r:id="rId1"/>
    <sheet name="Hoja2" sheetId="2" r:id="rId2"/>
    <sheet name="Hoja3" sheetId="3" r:id="rId3"/>
    <sheet name="Hoja4" sheetId="4" state="hidden" r:id="rId4"/>
    <sheet name="Hoja5" sheetId="5" state="hidden" r:id="rId5"/>
    <sheet name="Hoja6" sheetId="6" state="hidden" r:id="rId6"/>
    <sheet name="Hoja8" sheetId="7" state="hidden" r:id="rId7"/>
    <sheet name="Hoja7" sheetId="8" state="hidden" r:id="rId8"/>
    <sheet name="Hoja9" sheetId="9" state="hidden" r:id="rId9"/>
  </sheets>
  <definedNames>
    <definedName name="_xlnm.Print_Area" localSheetId="0">'Hoja1'!$A$1:$N$37</definedName>
    <definedName name="_xlnm.Print_Area" localSheetId="1">'Hoja2'!$A$1:$H$38</definedName>
    <definedName name="_xlnm.Print_Area" localSheetId="2">'Hoja3'!$A$1:$G$46</definedName>
    <definedName name="_xlnm.Print_Area" localSheetId="8">'Hoja9'!$A$1:$J$40</definedName>
  </definedNames>
  <calcPr fullCalcOnLoad="1"/>
</workbook>
</file>

<file path=xl/comments6.xml><?xml version="1.0" encoding="utf-8"?>
<comments xmlns="http://schemas.openxmlformats.org/spreadsheetml/2006/main">
  <authors>
    <author>AQUILES PARRA</author>
  </authors>
  <commentList>
    <comment ref="E22" authorId="0">
      <text>
        <r>
          <rPr>
            <b/>
            <sz val="8"/>
            <rFont val="Tahoma"/>
            <family val="0"/>
          </rPr>
          <t>AQUILES PARRA:</t>
        </r>
        <r>
          <rPr>
            <sz val="8"/>
            <rFont val="Tahoma"/>
            <family val="0"/>
          </rPr>
          <t xml:space="preserve">
Favor colocar el Pais de origen en la celda siguiente a la derecha
</t>
        </r>
      </text>
    </comment>
    <comment ref="E4" authorId="0">
      <text>
        <r>
          <rPr>
            <b/>
            <sz val="8"/>
            <rFont val="Tahoma"/>
            <family val="0"/>
          </rPr>
          <t>AQUILES PARRA:</t>
        </r>
        <r>
          <rPr>
            <sz val="8"/>
            <rFont val="Tahoma"/>
            <family val="0"/>
          </rPr>
          <t xml:space="preserve">
Mirar siempre que las caracteristicas del buque no se salgan de la hoja de impresión.Reducir o insertar una fila.</t>
        </r>
      </text>
    </comment>
  </commentList>
</comments>
</file>

<file path=xl/sharedStrings.xml><?xml version="1.0" encoding="utf-8"?>
<sst xmlns="http://schemas.openxmlformats.org/spreadsheetml/2006/main" count="632" uniqueCount="308">
  <si>
    <t>Place</t>
  </si>
  <si>
    <t>:</t>
  </si>
  <si>
    <t>Barranquilla</t>
  </si>
  <si>
    <t>Certificate Nbr</t>
  </si>
  <si>
    <t>Our reference</t>
  </si>
  <si>
    <t>Date</t>
  </si>
  <si>
    <t>VESSEL</t>
  </si>
  <si>
    <t>OWNER</t>
  </si>
  <si>
    <t xml:space="preserve"> </t>
  </si>
  <si>
    <t>PORT OF REGISTRY</t>
  </si>
  <si>
    <t>MASTER</t>
  </si>
  <si>
    <t>FLAG</t>
  </si>
  <si>
    <t>PORT OF LOADING</t>
  </si>
  <si>
    <t>CARGO</t>
  </si>
  <si>
    <t>G.R.T.</t>
  </si>
  <si>
    <t>PORT OF DISCHARGE</t>
  </si>
  <si>
    <t>N.R.T.</t>
  </si>
  <si>
    <t>ALL FAST/ANCHORED</t>
  </si>
  <si>
    <t>DEADWEIGHT</t>
  </si>
  <si>
    <t>STARTED LOADING</t>
  </si>
  <si>
    <t>LIGHT SHIP WEIGHT</t>
  </si>
  <si>
    <t>FINISHED LOADING</t>
  </si>
  <si>
    <t>DRAUGHT</t>
  </si>
  <si>
    <t xml:space="preserve">         INITIAL</t>
  </si>
  <si>
    <t>FINAL</t>
  </si>
  <si>
    <t>FORWARD PORT</t>
  </si>
  <si>
    <t>=</t>
  </si>
  <si>
    <t>FORWARD STBD</t>
  </si>
  <si>
    <t>FORWARD MEAN</t>
  </si>
  <si>
    <t>CORRECTION  PPs</t>
  </si>
  <si>
    <t>CORR´N FWD MEAN</t>
  </si>
  <si>
    <t>AFTER PORT</t>
  </si>
  <si>
    <t>AFTER STBD</t>
  </si>
  <si>
    <t>AFTER MEAN</t>
  </si>
  <si>
    <t>CORRECTION PPs</t>
  </si>
  <si>
    <t>CORR´N AFTER MEAN</t>
  </si>
  <si>
    <t>FORE &amp; AFT MEAN</t>
  </si>
  <si>
    <t>MIDSHIP PORT</t>
  </si>
  <si>
    <t>MIDSHIP STBD</t>
  </si>
  <si>
    <t>MIDSHIP MEAN</t>
  </si>
  <si>
    <t>CORR.MIDSHIP MEAN</t>
  </si>
  <si>
    <t>ARRIVAL</t>
  </si>
  <si>
    <t>DEPARTURE</t>
  </si>
  <si>
    <t>TRIM (real)</t>
  </si>
  <si>
    <t>HOGG (-) /SAGG(+)</t>
  </si>
  <si>
    <t>CORR´N MIDSHIP MEAN</t>
  </si>
  <si>
    <t>FORE &amp; AFTER MEAN</t>
  </si>
  <si>
    <t>MEAN OF MEANS</t>
  </si>
  <si>
    <t>CORR´N  MIDSHIP MEAN</t>
  </si>
  <si>
    <t>KEEL THICKNESS CORR'N</t>
  </si>
  <si>
    <t>QUARTER MEAN</t>
  </si>
  <si>
    <t>DISPLACEMENT (Q.M.)</t>
  </si>
  <si>
    <t>TRIM CORR´N &amp; LIST</t>
  </si>
  <si>
    <t>DISP. CORR´D  BY TRIM</t>
  </si>
  <si>
    <t>DENSITY CORRECTION</t>
  </si>
  <si>
    <t>DISP. CORR´D BY DENSITY</t>
  </si>
  <si>
    <t>TOTAL DEDUCTIONS</t>
  </si>
  <si>
    <t>NET DISPLACEMENT</t>
  </si>
  <si>
    <t>FINAL NET DISPLACEMENT   =</t>
  </si>
  <si>
    <t>M.T.</t>
  </si>
  <si>
    <t>INITIAL NET DISPLACEMENT=</t>
  </si>
  <si>
    <t>M.T</t>
  </si>
  <si>
    <t>LOADED/UNLOADED</t>
  </si>
  <si>
    <t xml:space="preserve">                    DEDUCTIONS </t>
  </si>
  <si>
    <t xml:space="preserve">       INITIAL</t>
  </si>
  <si>
    <t xml:space="preserve">       FINAL</t>
  </si>
  <si>
    <t>FUEL OIL</t>
  </si>
  <si>
    <t>DIESEL OIL</t>
  </si>
  <si>
    <t>BALLAST WATER</t>
  </si>
  <si>
    <t>FRESH WATER</t>
  </si>
  <si>
    <t>LUBE OIL</t>
  </si>
  <si>
    <t>SLOPS</t>
  </si>
  <si>
    <t>MISC. LOADED</t>
  </si>
  <si>
    <t>RELEVANT HYDROSTATIC PARTICULARS</t>
  </si>
  <si>
    <t>DRAFT</t>
  </si>
  <si>
    <t>DISPLACEMENT</t>
  </si>
  <si>
    <t>TPC/ TPI</t>
  </si>
  <si>
    <t>TRIM</t>
  </si>
  <si>
    <t>LONG. CENTER</t>
  </si>
  <si>
    <t>MTC/ MTI</t>
  </si>
  <si>
    <t>DENSITY</t>
  </si>
  <si>
    <t>Mts/Feet</t>
  </si>
  <si>
    <t>M.T. / L.T.</t>
  </si>
  <si>
    <t>Ton/cm-inch</t>
  </si>
  <si>
    <t>OF FLOTATION</t>
  </si>
  <si>
    <t>LBP</t>
  </si>
  <si>
    <t>REMARKS:</t>
  </si>
  <si>
    <t>SEA CONDITION AT INITIAL SURVEY</t>
  </si>
  <si>
    <t>SEA CONDITION AT FINAL    SURVEY</t>
  </si>
  <si>
    <t>DOCUMENTATION ON BOARD</t>
  </si>
  <si>
    <t>AFTER LOADING/ UNLOADING TOTAL CARGO CALCULATED</t>
  </si>
  <si>
    <t>WAS FOUND TO BE:</t>
  </si>
  <si>
    <t>SIGNED:</t>
  </si>
  <si>
    <t xml:space="preserve">             Marine  Surveyor</t>
  </si>
  <si>
    <t>B A L L A S T</t>
  </si>
  <si>
    <t>ATTACH (A)</t>
  </si>
  <si>
    <t xml:space="preserve">      TRIM=</t>
  </si>
  <si>
    <t xml:space="preserve">     TRIM=</t>
  </si>
  <si>
    <t>TANKS</t>
  </si>
  <si>
    <t>MAX</t>
  </si>
  <si>
    <r>
      <t xml:space="preserve">                                            </t>
    </r>
    <r>
      <rPr>
        <b/>
        <sz val="11"/>
        <rFont val="Times New Roman"/>
        <family val="1"/>
      </rPr>
      <t>A R R I V A L</t>
    </r>
  </si>
  <si>
    <t>Nbrs</t>
  </si>
  <si>
    <t>CAPACITY</t>
  </si>
  <si>
    <t>HEIGHT</t>
  </si>
  <si>
    <t>SDNG/ULL</t>
  </si>
  <si>
    <t>VOLUMEN</t>
  </si>
  <si>
    <t>WEIGHT</t>
  </si>
  <si>
    <t>SDN/ULL</t>
  </si>
  <si>
    <t xml:space="preserve">  </t>
  </si>
  <si>
    <t>TOTAL</t>
  </si>
  <si>
    <t>A.P.T.</t>
  </si>
  <si>
    <t>C.H. No.</t>
  </si>
  <si>
    <t>T0TALCM</t>
  </si>
  <si>
    <t>T0TAL MT</t>
  </si>
  <si>
    <t>PARCELS  DISTRIBUTIONS</t>
  </si>
  <si>
    <t>QUANTITY</t>
  </si>
  <si>
    <t>PARCEL</t>
  </si>
  <si>
    <t>HOLD Nbr.</t>
  </si>
  <si>
    <t>BY SCALE</t>
  </si>
  <si>
    <t>ADJUSTED</t>
  </si>
  <si>
    <t>No.1</t>
  </si>
  <si>
    <t>No.2</t>
  </si>
  <si>
    <t>No.3</t>
  </si>
  <si>
    <t>No.4</t>
  </si>
  <si>
    <t>No.5</t>
  </si>
  <si>
    <t>BY DRAFT</t>
  </si>
  <si>
    <t>FORMATO M-029 REV.2-04/97</t>
  </si>
  <si>
    <t>CERTIFICATE OF DRAUGHT SURVEY</t>
  </si>
  <si>
    <t>DATE:</t>
  </si>
  <si>
    <t xml:space="preserve">  INITIAL</t>
  </si>
  <si>
    <t>SHIPS CHARACTERISTIC</t>
  </si>
  <si>
    <t>FWD PORT</t>
  </si>
  <si>
    <t>FWD STBD</t>
  </si>
  <si>
    <t>PORT REGISTRY</t>
  </si>
  <si>
    <t>AFT PORT</t>
  </si>
  <si>
    <t>G.R.T</t>
  </si>
  <si>
    <t>AFT STBD</t>
  </si>
  <si>
    <t>N.R.T</t>
  </si>
  <si>
    <t>SUMMER DW</t>
  </si>
  <si>
    <t>MDL PORT</t>
  </si>
  <si>
    <t>LIGHT SHIP</t>
  </si>
  <si>
    <t>MDL STBD</t>
  </si>
  <si>
    <t>KEEL CORR.</t>
  </si>
  <si>
    <t>**********</t>
  </si>
  <si>
    <t>********</t>
  </si>
  <si>
    <t xml:space="preserve"> DISCHARGE PORT</t>
  </si>
  <si>
    <t>dfwd</t>
  </si>
  <si>
    <t>ALL FAST</t>
  </si>
  <si>
    <t>daft</t>
  </si>
  <si>
    <t>STARTED</t>
  </si>
  <si>
    <t>dmdl</t>
  </si>
  <si>
    <t>FINISHED</t>
  </si>
  <si>
    <t>density</t>
  </si>
  <si>
    <t>WEATHER INITIAL</t>
  </si>
  <si>
    <t>F.Oil</t>
  </si>
  <si>
    <t>WEATHER FINAL</t>
  </si>
  <si>
    <t>D.Oil</t>
  </si>
  <si>
    <t>CERTIFICATE Nbr</t>
  </si>
  <si>
    <t>Ballast Water</t>
  </si>
  <si>
    <t>OUR REFERENCE</t>
  </si>
  <si>
    <t>Fresh Water</t>
  </si>
  <si>
    <t>L.Oil</t>
  </si>
  <si>
    <t>Slops</t>
  </si>
  <si>
    <t>Misc. Loaded</t>
  </si>
  <si>
    <t>I N T E R P O L A C I O N E S</t>
  </si>
  <si>
    <t xml:space="preserve"> D R A F T      I N I T I A  L</t>
  </si>
  <si>
    <t>TPC</t>
  </si>
  <si>
    <t>LCF</t>
  </si>
  <si>
    <t>M .T . C</t>
  </si>
  <si>
    <t>D R A F T   F I N A L</t>
  </si>
  <si>
    <t>M.T.C.</t>
  </si>
  <si>
    <t xml:space="preserve">            INITIAL</t>
  </si>
  <si>
    <t xml:space="preserve">         FINAL</t>
  </si>
  <si>
    <t>MEAN OF MEAN</t>
  </si>
  <si>
    <t>Mtrs</t>
  </si>
  <si>
    <t>CONSTANTE</t>
  </si>
  <si>
    <t>S.T</t>
  </si>
  <si>
    <t>SCALE</t>
  </si>
  <si>
    <t>DIFFERENCE</t>
  </si>
  <si>
    <t>BY</t>
  </si>
  <si>
    <t>Marine Surveyors</t>
  </si>
  <si>
    <t>DATOS  HIDROSTATICOS</t>
  </si>
  <si>
    <t>MTC</t>
  </si>
  <si>
    <t xml:space="preserve">DATE: </t>
  </si>
  <si>
    <t xml:space="preserve">                        QUANTITY   REPORT</t>
  </si>
  <si>
    <t>TO      :</t>
  </si>
  <si>
    <t>MANEJO  DE  CARBON</t>
  </si>
  <si>
    <t>FROM:</t>
  </si>
  <si>
    <t>INSPECTORATE COLOMBIA LTDA</t>
  </si>
  <si>
    <t xml:space="preserve"> REF     M/V</t>
  </si>
  <si>
    <t>RECEIVED BY:</t>
  </si>
  <si>
    <t>TIME          :</t>
  </si>
  <si>
    <t>Hrs</t>
  </si>
  <si>
    <t xml:space="preserve">     MARINE SURVEYOR</t>
  </si>
  <si>
    <t>FORMATO M-027 REV.1 / 01 / 97</t>
  </si>
  <si>
    <t>ROLDAN  ADUANAS</t>
  </si>
  <si>
    <t xml:space="preserve"> REF M/V</t>
  </si>
  <si>
    <t>RAUL CAMPIS</t>
  </si>
  <si>
    <t xml:space="preserve">    MARINE SURVEYOR</t>
  </si>
  <si>
    <t xml:space="preserve">DRAUGHT SURVEY REPORT OF CARGO IN BULK   </t>
  </si>
  <si>
    <t>[    ] LOADED</t>
  </si>
  <si>
    <t>[    ]  UNLOADED</t>
  </si>
  <si>
    <t>VESSEL:</t>
  </si>
  <si>
    <t>Survey No.</t>
  </si>
  <si>
    <t xml:space="preserve">Date:         </t>
  </si>
  <si>
    <t>Hrs:</t>
  </si>
  <si>
    <t>Date:</t>
  </si>
  <si>
    <t>Hours:</t>
  </si>
  <si>
    <t>Compart´nt</t>
  </si>
  <si>
    <t>Total</t>
  </si>
  <si>
    <t>STARTING SURVEY</t>
  </si>
  <si>
    <t>FINISHING  SURVEY</t>
  </si>
  <si>
    <t>Title:</t>
  </si>
  <si>
    <t>sound/</t>
  </si>
  <si>
    <t>Sound/</t>
  </si>
  <si>
    <t>Actual</t>
  </si>
  <si>
    <t>Weight</t>
  </si>
  <si>
    <t>Sound</t>
  </si>
  <si>
    <t>tank No.</t>
  </si>
  <si>
    <t>Depth</t>
  </si>
  <si>
    <t>ullage</t>
  </si>
  <si>
    <t>Dens.</t>
  </si>
  <si>
    <t>volume</t>
  </si>
  <si>
    <t>Metric</t>
  </si>
  <si>
    <t>dens.</t>
  </si>
  <si>
    <t>Slops Tks.</t>
  </si>
  <si>
    <t>meters</t>
  </si>
  <si>
    <t>Kg/c.m.</t>
  </si>
  <si>
    <t>c.m.</t>
  </si>
  <si>
    <t>tonnes</t>
  </si>
  <si>
    <t>Tonnes</t>
  </si>
  <si>
    <t>C - FUEL OIL</t>
  </si>
  <si>
    <t>TEMPERATURE</t>
  </si>
  <si>
    <t xml:space="preserve">                             </t>
  </si>
  <si>
    <t>TOTAL C:</t>
  </si>
  <si>
    <t>D - DIESEL OIL</t>
  </si>
  <si>
    <t>TOTAL D:</t>
  </si>
  <si>
    <t>SUMMARY  OF  DEDUCTIBLES</t>
  </si>
  <si>
    <t>Starting survey</t>
  </si>
  <si>
    <t>Finishing survey</t>
  </si>
  <si>
    <t xml:space="preserve"> metric tonnes</t>
  </si>
  <si>
    <t xml:space="preserve">  metric tonnes</t>
  </si>
  <si>
    <t>Ballast water</t>
  </si>
  <si>
    <t>Fresh water</t>
  </si>
  <si>
    <t>Fuel oil</t>
  </si>
  <si>
    <t>Diesel oil</t>
  </si>
  <si>
    <t>Lube oil</t>
  </si>
  <si>
    <t>Swimming pool</t>
  </si>
  <si>
    <t>anchor and chain</t>
  </si>
  <si>
    <t>Others</t>
  </si>
  <si>
    <t>Total Deductibles</t>
  </si>
  <si>
    <t>FORMATO M-016.REV.2-04/97</t>
  </si>
  <si>
    <t>FUEL  OIL</t>
  </si>
  <si>
    <t>DIESEL  OIL</t>
  </si>
  <si>
    <t>FACTOR</t>
  </si>
  <si>
    <t>TEMP</t>
  </si>
  <si>
    <t>ACTUAL</t>
  </si>
  <si>
    <t>FORMATO M-001 REV.1-01/01</t>
  </si>
  <si>
    <t>FORMATO M-002 REV.1-01/01</t>
  </si>
  <si>
    <t>FORMATO M-003 REV.1-01/01</t>
  </si>
  <si>
    <t>FORMATO M-004 REV.1- 01/01</t>
  </si>
  <si>
    <t>PRODUCT</t>
  </si>
  <si>
    <t>LOADING PORT</t>
  </si>
  <si>
    <t>CALADO MEDIO TEORICO</t>
  </si>
  <si>
    <t>LIST</t>
  </si>
  <si>
    <t>BEAM</t>
  </si>
  <si>
    <t>Y</t>
  </si>
  <si>
    <t>MTRS</t>
  </si>
  <si>
    <t>DEGREE</t>
  </si>
  <si>
    <t>CPT. FRANCISCO ESPITIA P.</t>
  </si>
  <si>
    <t>CPT. FRANCISCO EPITIA P.</t>
  </si>
  <si>
    <t>ROTTERDAM</t>
  </si>
  <si>
    <t>DUTCH HARBIUR SPEAR</t>
  </si>
  <si>
    <t>K H. SCHERER</t>
  </si>
  <si>
    <t>BARRANQUILLA</t>
  </si>
  <si>
    <t>4DBPT</t>
  </si>
  <si>
    <t>5DBPT</t>
  </si>
  <si>
    <t>5DBSTB</t>
  </si>
  <si>
    <t>5SIDESTB</t>
  </si>
  <si>
    <t>F</t>
  </si>
  <si>
    <t>HOLLAND</t>
  </si>
  <si>
    <t>3 SIDE PT</t>
  </si>
  <si>
    <t>3 SIDESTB</t>
  </si>
  <si>
    <t>3DBPT</t>
  </si>
  <si>
    <t>3DBSTB</t>
  </si>
  <si>
    <t>4SIDE PT</t>
  </si>
  <si>
    <t>4 SIDESTB</t>
  </si>
  <si>
    <t>4DBST</t>
  </si>
  <si>
    <t>5 SIDEPT</t>
  </si>
  <si>
    <t>CALM</t>
  </si>
  <si>
    <t>MT</t>
  </si>
  <si>
    <t>.12</t>
  </si>
  <si>
    <t>.09</t>
  </si>
  <si>
    <t>.10</t>
  </si>
  <si>
    <t>.01</t>
  </si>
  <si>
    <t>.06</t>
  </si>
  <si>
    <t>.07</t>
  </si>
  <si>
    <t>.15</t>
  </si>
  <si>
    <t>.11</t>
  </si>
  <si>
    <t xml:space="preserve">BILL OF LADING    </t>
  </si>
  <si>
    <t>COKE</t>
  </si>
  <si>
    <t>COLOMBIA</t>
  </si>
  <si>
    <t xml:space="preserve">01st-12-03 at </t>
  </si>
  <si>
    <t>DUTCH SPEAR</t>
  </si>
  <si>
    <t>30th-11-03 at                 :          hrs</t>
  </si>
  <si>
    <t>lbp:81</t>
  </si>
  <si>
    <t>dfwd:1,8</t>
  </si>
  <si>
    <t>daft:-1,0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</si>
</sst>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0000"/>
    <numFmt numFmtId="184" formatCode="0.00000000"/>
    <numFmt numFmtId="185" formatCode="_(* #,##0.0000_);_(* \(#,##0.0000\);_(* &quot;-&quot;??_);_(@_)"/>
    <numFmt numFmtId="186" formatCode="yy/mmm/dd"/>
  </numFmts>
  <fonts count="2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u val="single"/>
      <sz val="14"/>
      <name val="VAG Round"/>
      <family val="5"/>
    </font>
    <font>
      <b/>
      <i/>
      <sz val="10"/>
      <name val="VAG Round"/>
      <family val="0"/>
    </font>
    <font>
      <b/>
      <sz val="14"/>
      <name val="Arial Narrow"/>
      <family val="2"/>
    </font>
    <font>
      <b/>
      <i/>
      <sz val="10"/>
      <name val="Arial Narrow"/>
      <family val="0"/>
    </font>
    <font>
      <b/>
      <sz val="10"/>
      <name val="Arial Narrow"/>
      <family val="0"/>
    </font>
    <font>
      <b/>
      <i/>
      <sz val="14"/>
      <name val="Arial Narrow"/>
      <family val="2"/>
    </font>
    <font>
      <sz val="14"/>
      <name val="Arial Narrow"/>
      <family val="2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8"/>
      <name val="VAG Round"/>
      <family val="0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6"/>
      <color indexed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Vladimir Script"/>
      <family val="4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 quotePrefix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 quotePrefix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182" fontId="1" fillId="0" borderId="6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" xfId="0" applyNumberFormat="1" applyFont="1" applyBorder="1" applyAlignment="1">
      <alignment horizontal="center"/>
    </xf>
    <xf numFmtId="182" fontId="1" fillId="0" borderId="7" xfId="0" applyNumberFormat="1" applyFont="1" applyBorder="1" applyAlignment="1">
      <alignment horizontal="center"/>
    </xf>
    <xf numFmtId="182" fontId="1" fillId="0" borderId="9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182" fontId="1" fillId="0" borderId="3" xfId="0" applyNumberFormat="1" applyFont="1" applyBorder="1" applyAlignment="1">
      <alignment horizontal="center"/>
    </xf>
    <xf numFmtId="182" fontId="1" fillId="0" borderId="4" xfId="0" applyNumberFormat="1" applyFont="1" applyBorder="1" applyAlignment="1">
      <alignment horizontal="center"/>
    </xf>
    <xf numFmtId="182" fontId="1" fillId="0" borderId="0" xfId="0" applyNumberFormat="1" applyFont="1" applyAlignment="1">
      <alignment horizontal="center"/>
    </xf>
    <xf numFmtId="0" fontId="1" fillId="0" borderId="7" xfId="0" applyFont="1" applyBorder="1" applyAlignment="1" quotePrefix="1">
      <alignment horizontal="left"/>
    </xf>
    <xf numFmtId="0" fontId="1" fillId="0" borderId="6" xfId="0" applyFont="1" applyBorder="1" applyAlignment="1" quotePrefix="1">
      <alignment horizontal="left"/>
    </xf>
    <xf numFmtId="2" fontId="1" fillId="0" borderId="4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185" fontId="1" fillId="0" borderId="12" xfId="15" applyNumberFormat="1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182" fontId="1" fillId="0" borderId="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4" fillId="0" borderId="6" xfId="0" applyFont="1" applyBorder="1" applyAlignment="1" quotePrefix="1">
      <alignment horizontal="lef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82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right"/>
      <protection locked="0"/>
    </xf>
    <xf numFmtId="180" fontId="1" fillId="0" borderId="12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22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4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" fillId="0" borderId="3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5" xfId="0" applyFont="1" applyBorder="1" applyAlignment="1" quotePrefix="1">
      <alignment horizontal="left"/>
    </xf>
    <xf numFmtId="0" fontId="1" fillId="0" borderId="2" xfId="0" applyFont="1" applyBorder="1" applyAlignment="1" quotePrefix="1">
      <alignment horizontal="left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1" fillId="0" borderId="9" xfId="0" applyFont="1" applyBorder="1" applyAlignment="1" quotePrefix="1">
      <alignment horizontal="left"/>
    </xf>
    <xf numFmtId="0" fontId="1" fillId="0" borderId="5" xfId="0" applyFont="1" applyBorder="1" applyAlignment="1">
      <alignment horizontal="left"/>
    </xf>
    <xf numFmtId="1" fontId="1" fillId="0" borderId="0" xfId="15" applyNumberFormat="1" applyFont="1" applyAlignment="1">
      <alignment horizontal="left"/>
    </xf>
    <xf numFmtId="0" fontId="1" fillId="0" borderId="15" xfId="0" applyFont="1" applyBorder="1" applyAlignment="1">
      <alignment/>
    </xf>
    <xf numFmtId="1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183" fontId="1" fillId="0" borderId="7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2" borderId="8" xfId="0" applyFont="1" applyFill="1" applyBorder="1" applyAlignment="1">
      <alignment/>
    </xf>
    <xf numFmtId="0" fontId="10" fillId="0" borderId="0" xfId="0" applyFont="1" applyAlignment="1">
      <alignment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2" fontId="1" fillId="3" borderId="0" xfId="0" applyNumberFormat="1" applyFont="1" applyFill="1" applyAlignment="1">
      <alignment/>
    </xf>
    <xf numFmtId="1" fontId="1" fillId="3" borderId="0" xfId="0" applyNumberFormat="1" applyFont="1" applyFill="1" applyBorder="1" applyAlignment="1" applyProtection="1">
      <alignment/>
      <protection locked="0"/>
    </xf>
    <xf numFmtId="0" fontId="1" fillId="3" borderId="8" xfId="0" applyFont="1" applyFill="1" applyBorder="1" applyAlignment="1" applyProtection="1">
      <alignment/>
      <protection locked="0"/>
    </xf>
    <xf numFmtId="1" fontId="1" fillId="3" borderId="10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applyProtection="1">
      <alignment/>
      <protection locked="0"/>
    </xf>
    <xf numFmtId="182" fontId="1" fillId="0" borderId="2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186" fontId="1" fillId="0" borderId="0" xfId="0" applyNumberFormat="1" applyFont="1" applyAlignment="1">
      <alignment horizontal="left"/>
    </xf>
    <xf numFmtId="0" fontId="7" fillId="0" borderId="1" xfId="0" applyFont="1" applyBorder="1" applyAlignment="1" quotePrefix="1">
      <alignment horizontal="left"/>
    </xf>
    <xf numFmtId="0" fontId="7" fillId="0" borderId="6" xfId="0" applyFont="1" applyBorder="1" applyAlignment="1">
      <alignment/>
    </xf>
    <xf numFmtId="0" fontId="7" fillId="0" borderId="6" xfId="0" applyFont="1" applyBorder="1" applyAlignment="1" applyProtection="1">
      <alignment/>
      <protection locked="0"/>
    </xf>
    <xf numFmtId="0" fontId="7" fillId="0" borderId="2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1" fontId="7" fillId="0" borderId="10" xfId="0" applyNumberFormat="1" applyFont="1" applyBorder="1" applyAlignment="1" applyProtection="1">
      <alignment horizontal="centerContinuous"/>
      <protection locked="0"/>
    </xf>
    <xf numFmtId="0" fontId="7" fillId="0" borderId="10" xfId="0" applyFont="1" applyBorder="1" applyAlignment="1">
      <alignment/>
    </xf>
    <xf numFmtId="0" fontId="7" fillId="0" borderId="11" xfId="0" applyFont="1" applyBorder="1" applyAlignment="1" applyProtection="1">
      <alignment horizontal="centerContinuous"/>
      <protection locked="0"/>
    </xf>
    <xf numFmtId="0" fontId="7" fillId="0" borderId="14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0" fontId="7" fillId="0" borderId="9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182" fontId="13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>
      <alignment horizontal="center"/>
    </xf>
    <xf numFmtId="0" fontId="7" fillId="0" borderId="9" xfId="0" applyFont="1" applyBorder="1" applyAlignment="1" applyProtection="1">
      <alignment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3" fillId="0" borderId="12" xfId="0" applyFont="1" applyBorder="1" applyAlignment="1" applyProtection="1">
      <alignment horizontal="center"/>
      <protection hidden="1"/>
    </xf>
    <xf numFmtId="184" fontId="13" fillId="0" borderId="12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5" fontId="1" fillId="0" borderId="0" xfId="0" applyNumberFormat="1" applyFont="1" applyAlignment="1" applyProtection="1">
      <alignment horizontal="left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4" borderId="22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/>
    </xf>
    <xf numFmtId="0" fontId="1" fillId="3" borderId="12" xfId="0" applyFont="1" applyFill="1" applyBorder="1" applyAlignment="1">
      <alignment horizontal="left"/>
    </xf>
    <xf numFmtId="2" fontId="16" fillId="5" borderId="12" xfId="0" applyNumberFormat="1" applyFont="1" applyFill="1" applyBorder="1" applyAlignment="1" applyProtection="1">
      <alignment horizontal="center"/>
      <protection locked="0"/>
    </xf>
    <xf numFmtId="2" fontId="16" fillId="5" borderId="2" xfId="0" applyNumberFormat="1" applyFont="1" applyFill="1" applyBorder="1" applyAlignment="1" applyProtection="1">
      <alignment horizontal="center"/>
      <protection locked="0"/>
    </xf>
    <xf numFmtId="2" fontId="16" fillId="5" borderId="8" xfId="0" applyNumberFormat="1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2" fontId="16" fillId="5" borderId="12" xfId="0" applyNumberFormat="1" applyFont="1" applyFill="1" applyBorder="1" applyAlignment="1">
      <alignment horizontal="center"/>
    </xf>
    <xf numFmtId="0" fontId="16" fillId="5" borderId="12" xfId="0" applyFont="1" applyFill="1" applyBorder="1" applyAlignment="1" applyProtection="1">
      <alignment horizontal="center"/>
      <protection locked="0"/>
    </xf>
    <xf numFmtId="0" fontId="16" fillId="5" borderId="8" xfId="0" applyFont="1" applyFill="1" applyBorder="1" applyAlignment="1" applyProtection="1">
      <alignment horizontal="center"/>
      <protection/>
    </xf>
    <xf numFmtId="182" fontId="16" fillId="5" borderId="1" xfId="0" applyNumberFormat="1" applyFont="1" applyFill="1" applyBorder="1" applyAlignment="1" applyProtection="1">
      <alignment horizontal="center"/>
      <protection locked="0"/>
    </xf>
    <xf numFmtId="182" fontId="1" fillId="5" borderId="6" xfId="0" applyNumberFormat="1" applyFont="1" applyFill="1" applyBorder="1" applyAlignment="1">
      <alignment horizontal="center"/>
    </xf>
    <xf numFmtId="182" fontId="17" fillId="5" borderId="1" xfId="0" applyNumberFormat="1" applyFont="1" applyFill="1" applyBorder="1" applyAlignment="1">
      <alignment horizontal="center"/>
    </xf>
    <xf numFmtId="181" fontId="17" fillId="5" borderId="12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82" fontId="1" fillId="5" borderId="12" xfId="0" applyNumberFormat="1" applyFont="1" applyFill="1" applyBorder="1" applyAlignment="1">
      <alignment horizontal="center"/>
    </xf>
    <xf numFmtId="182" fontId="17" fillId="5" borderId="12" xfId="0" applyNumberFormat="1" applyFont="1" applyFill="1" applyBorder="1" applyAlignment="1">
      <alignment horizontal="center"/>
    </xf>
    <xf numFmtId="2" fontId="17" fillId="5" borderId="6" xfId="0" applyNumberFormat="1" applyFont="1" applyFill="1" applyBorder="1" applyAlignment="1">
      <alignment horizontal="center"/>
    </xf>
    <xf numFmtId="181" fontId="17" fillId="5" borderId="6" xfId="0" applyNumberFormat="1" applyFont="1" applyFill="1" applyBorder="1" applyAlignment="1">
      <alignment horizontal="center"/>
    </xf>
    <xf numFmtId="2" fontId="1" fillId="5" borderId="12" xfId="0" applyNumberFormat="1" applyFont="1" applyFill="1" applyBorder="1" applyAlignment="1">
      <alignment horizontal="center"/>
    </xf>
    <xf numFmtId="181" fontId="17" fillId="5" borderId="2" xfId="0" applyNumberFormat="1" applyFont="1" applyFill="1" applyBorder="1" applyAlignment="1">
      <alignment horizontal="center"/>
    </xf>
    <xf numFmtId="0" fontId="16" fillId="5" borderId="1" xfId="0" applyFont="1" applyFill="1" applyBorder="1" applyAlignment="1" applyProtection="1">
      <alignment/>
      <protection locked="0"/>
    </xf>
    <xf numFmtId="0" fontId="1" fillId="5" borderId="6" xfId="0" applyFont="1" applyFill="1" applyBorder="1" applyAlignment="1" applyProtection="1">
      <alignment/>
      <protection/>
    </xf>
    <xf numFmtId="0" fontId="1" fillId="5" borderId="2" xfId="0" applyFont="1" applyFill="1" applyBorder="1" applyAlignment="1" applyProtection="1">
      <alignment/>
      <protection/>
    </xf>
    <xf numFmtId="0" fontId="16" fillId="5" borderId="1" xfId="0" applyFont="1" applyFill="1" applyBorder="1" applyAlignment="1" applyProtection="1">
      <alignment horizontal="left"/>
      <protection locked="0"/>
    </xf>
    <xf numFmtId="49" fontId="16" fillId="5" borderId="6" xfId="0" applyNumberFormat="1" applyFont="1" applyFill="1" applyBorder="1" applyAlignment="1" applyProtection="1">
      <alignment/>
      <protection locked="0"/>
    </xf>
    <xf numFmtId="0" fontId="16" fillId="5" borderId="6" xfId="0" applyFont="1" applyFill="1" applyBorder="1" applyAlignment="1" applyProtection="1">
      <alignment/>
      <protection locked="0"/>
    </xf>
    <xf numFmtId="0" fontId="16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6" fillId="5" borderId="6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10" fillId="6" borderId="24" xfId="0" applyFont="1" applyFill="1" applyBorder="1" applyAlignment="1">
      <alignment/>
    </xf>
    <xf numFmtId="0" fontId="1" fillId="6" borderId="25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182" fontId="16" fillId="6" borderId="0" xfId="0" applyNumberFormat="1" applyFont="1" applyFill="1" applyAlignment="1">
      <alignment/>
    </xf>
    <xf numFmtId="2" fontId="16" fillId="6" borderId="0" xfId="0" applyNumberFormat="1" applyFont="1" applyFill="1" applyAlignment="1">
      <alignment horizontal="center"/>
    </xf>
    <xf numFmtId="2" fontId="16" fillId="6" borderId="0" xfId="0" applyNumberFormat="1" applyFont="1" applyFill="1" applyAlignment="1">
      <alignment/>
    </xf>
    <xf numFmtId="1" fontId="16" fillId="6" borderId="0" xfId="0" applyNumberFormat="1" applyFont="1" applyFill="1" applyAlignment="1">
      <alignment horizontal="center"/>
    </xf>
    <xf numFmtId="2" fontId="18" fillId="6" borderId="0" xfId="0" applyNumberFormat="1" applyFont="1" applyFill="1" applyAlignment="1">
      <alignment/>
    </xf>
    <xf numFmtId="1" fontId="16" fillId="6" borderId="0" xfId="0" applyNumberFormat="1" applyFont="1" applyFill="1" applyAlignment="1" applyProtection="1">
      <alignment horizontal="center"/>
      <protection locked="0"/>
    </xf>
    <xf numFmtId="0" fontId="1" fillId="7" borderId="0" xfId="0" applyFont="1" applyFill="1" applyAlignment="1">
      <alignment/>
    </xf>
    <xf numFmtId="0" fontId="9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10" fillId="7" borderId="0" xfId="0" applyFont="1" applyFill="1" applyAlignment="1">
      <alignment horizontal="center"/>
    </xf>
    <xf numFmtId="0" fontId="10" fillId="7" borderId="0" xfId="0" applyFont="1" applyFill="1" applyAlignment="1">
      <alignment/>
    </xf>
    <xf numFmtId="0" fontId="10" fillId="7" borderId="0" xfId="0" applyFont="1" applyFill="1" applyBorder="1" applyAlignment="1">
      <alignment/>
    </xf>
    <xf numFmtId="0" fontId="10" fillId="7" borderId="26" xfId="0" applyFont="1" applyFill="1" applyBorder="1" applyAlignment="1">
      <alignment/>
    </xf>
    <xf numFmtId="0" fontId="5" fillId="6" borderId="0" xfId="0" applyFont="1" applyFill="1" applyAlignment="1">
      <alignment/>
    </xf>
    <xf numFmtId="0" fontId="19" fillId="6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181" fontId="5" fillId="6" borderId="0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9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5" fillId="6" borderId="0" xfId="0" applyFont="1" applyFill="1" applyAlignment="1" quotePrefix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 applyAlignment="1" quotePrefix="1">
      <alignment horizontal="left"/>
    </xf>
    <xf numFmtId="0" fontId="5" fillId="6" borderId="0" xfId="0" applyFont="1" applyFill="1" applyAlignment="1">
      <alignment horizontal="left"/>
    </xf>
    <xf numFmtId="1" fontId="5" fillId="6" borderId="0" xfId="0" applyNumberFormat="1" applyFont="1" applyFill="1" applyAlignment="1" applyProtection="1">
      <alignment horizontal="center"/>
      <protection/>
    </xf>
    <xf numFmtId="0" fontId="5" fillId="6" borderId="10" xfId="0" applyFont="1" applyFill="1" applyBorder="1" applyAlignment="1">
      <alignment/>
    </xf>
    <xf numFmtId="0" fontId="16" fillId="6" borderId="0" xfId="0" applyFont="1" applyFill="1" applyAlignment="1">
      <alignment/>
    </xf>
    <xf numFmtId="0" fontId="20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22" fillId="6" borderId="0" xfId="0" applyFont="1" applyFill="1" applyAlignment="1">
      <alignment horizontal="right"/>
    </xf>
    <xf numFmtId="2" fontId="22" fillId="6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25" fillId="0" borderId="10" xfId="0" applyFont="1" applyBorder="1" applyAlignment="1">
      <alignment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40</xdr:row>
      <xdr:rowOff>142875</xdr:rowOff>
    </xdr:from>
    <xdr:to>
      <xdr:col>3</xdr:col>
      <xdr:colOff>285750</xdr:colOff>
      <xdr:row>42</xdr:row>
      <xdr:rowOff>28575</xdr:rowOff>
    </xdr:to>
    <xdr:sp>
      <xdr:nvSpPr>
        <xdr:cNvPr id="1" name="Line 1"/>
        <xdr:cNvSpPr>
          <a:spLocks/>
        </xdr:cNvSpPr>
      </xdr:nvSpPr>
      <xdr:spPr>
        <a:xfrm>
          <a:off x="2505075" y="6791325"/>
          <a:ext cx="2857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workbookViewId="0" topLeftCell="A9">
      <selection activeCell="P21" sqref="P21"/>
    </sheetView>
  </sheetViews>
  <sheetFormatPr defaultColWidth="9.33203125" defaultRowHeight="15.75" customHeight="1"/>
  <cols>
    <col min="1" max="1" width="22.66015625" style="1" customWidth="1"/>
    <col min="2" max="2" width="2.83203125" style="1" customWidth="1"/>
    <col min="3" max="3" width="5.83203125" style="1" hidden="1" customWidth="1"/>
    <col min="4" max="4" width="8.16015625" style="1" customWidth="1"/>
    <col min="5" max="7" width="5.83203125" style="1" customWidth="1"/>
    <col min="8" max="8" width="12.83203125" style="1" customWidth="1"/>
    <col min="9" max="9" width="9.83203125" style="1" customWidth="1"/>
    <col min="10" max="10" width="3.16015625" style="1" customWidth="1"/>
    <col min="11" max="11" width="12.83203125" style="1" customWidth="1"/>
    <col min="12" max="12" width="3.66015625" style="1" customWidth="1"/>
    <col min="13" max="13" width="1.83203125" style="1" customWidth="1"/>
    <col min="14" max="14" width="6.83203125" style="1" customWidth="1"/>
    <col min="15" max="16384" width="12" style="1" customWidth="1"/>
  </cols>
  <sheetData>
    <row r="1" spans="8:12" ht="15.75" customHeight="1">
      <c r="H1" s="76" t="s">
        <v>0</v>
      </c>
      <c r="J1" s="1" t="s">
        <v>1</v>
      </c>
      <c r="K1" s="192" t="s">
        <v>2</v>
      </c>
      <c r="L1" s="69"/>
    </row>
    <row r="2" spans="8:11" ht="15.75" customHeight="1">
      <c r="H2" s="76" t="s">
        <v>3</v>
      </c>
      <c r="J2" s="1" t="s">
        <v>1</v>
      </c>
      <c r="K2" s="3">
        <f>Hoja6!$E$19</f>
        <v>0</v>
      </c>
    </row>
    <row r="3" spans="8:11" ht="15.75" customHeight="1">
      <c r="H3" s="78" t="s">
        <v>4</v>
      </c>
      <c r="J3" s="1" t="s">
        <v>1</v>
      </c>
      <c r="K3" s="3">
        <f>Hoja6!$E$20</f>
        <v>0</v>
      </c>
    </row>
    <row r="4" spans="8:11" ht="15.75" customHeight="1">
      <c r="H4" s="76" t="s">
        <v>5</v>
      </c>
      <c r="J4" s="1" t="s">
        <v>1</v>
      </c>
      <c r="K4" s="133">
        <f ca="1">NOW()</f>
        <v>37957.941269097224</v>
      </c>
    </row>
    <row r="5" spans="1:13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9" ht="15.75" customHeight="1">
      <c r="B6" s="2"/>
      <c r="C6" s="77" t="str">
        <f>Hoja6!$C$1</f>
        <v>CERTIFICATE OF DRAUGHT SURVEY</v>
      </c>
      <c r="D6" s="77"/>
      <c r="E6" s="77"/>
      <c r="F6" s="77"/>
      <c r="G6" s="77"/>
      <c r="H6" s="2"/>
      <c r="I6" s="2"/>
    </row>
    <row r="7" spans="3:7" ht="15.75" customHeight="1">
      <c r="C7" s="2"/>
      <c r="D7" s="2"/>
      <c r="E7" s="2"/>
      <c r="F7" s="2"/>
      <c r="G7" s="2"/>
    </row>
    <row r="8" spans="1:11" ht="15.75" customHeight="1">
      <c r="A8" s="1" t="s">
        <v>6</v>
      </c>
      <c r="B8" s="1" t="s">
        <v>1</v>
      </c>
      <c r="C8" s="3" t="str">
        <f>Hoja6!$E$4</f>
        <v>DUTCH SPEAR</v>
      </c>
      <c r="D8" s="3" t="str">
        <f>Hoja6!$E$4</f>
        <v>DUTCH SPEAR</v>
      </c>
      <c r="E8" s="3"/>
      <c r="F8" s="3"/>
      <c r="G8" s="3"/>
      <c r="H8" s="1" t="s">
        <v>7</v>
      </c>
      <c r="J8" s="1" t="s">
        <v>1</v>
      </c>
      <c r="K8" s="1" t="str">
        <f>Hoja6!$E$11</f>
        <v>DUTCH HARBIUR SPEAR</v>
      </c>
    </row>
    <row r="9" spans="1:11" ht="15.75" customHeight="1">
      <c r="A9" s="1" t="s">
        <v>9</v>
      </c>
      <c r="B9" s="1" t="s">
        <v>1</v>
      </c>
      <c r="C9" s="3" t="str">
        <f>Hoja6!$E$5</f>
        <v>ROTTERDAM</v>
      </c>
      <c r="D9" s="3" t="str">
        <f>Hoja6!$E$5</f>
        <v>ROTTERDAM</v>
      </c>
      <c r="E9" s="3"/>
      <c r="F9" s="3"/>
      <c r="G9" s="3"/>
      <c r="H9" s="1" t="s">
        <v>10</v>
      </c>
      <c r="J9" s="1" t="s">
        <v>1</v>
      </c>
      <c r="K9" s="1" t="str">
        <f>Hoja6!$E$12</f>
        <v>K H. SCHERER</v>
      </c>
    </row>
    <row r="10" spans="1:11" ht="15.75" customHeight="1">
      <c r="A10" s="1" t="s">
        <v>11</v>
      </c>
      <c r="B10" s="1" t="s">
        <v>1</v>
      </c>
      <c r="C10" s="3" t="str">
        <f>Hoja6!$E$6</f>
        <v>HOLLAND</v>
      </c>
      <c r="D10" s="3" t="str">
        <f>Hoja6!$E$6</f>
        <v>HOLLAND</v>
      </c>
      <c r="E10" s="3"/>
      <c r="F10" s="3"/>
      <c r="G10" s="3"/>
      <c r="H10" s="1" t="s">
        <v>12</v>
      </c>
      <c r="J10" s="1" t="s">
        <v>1</v>
      </c>
      <c r="K10" s="1" t="str">
        <f>Hoja6!$E$22</f>
        <v>BARRANQUILLA</v>
      </c>
    </row>
    <row r="11" spans="1:8" ht="15.75" customHeight="1">
      <c r="A11" s="1" t="s">
        <v>13</v>
      </c>
      <c r="B11" s="1" t="s">
        <v>1</v>
      </c>
      <c r="C11" s="3" t="s">
        <v>8</v>
      </c>
      <c r="D11" s="3" t="str">
        <f>Hoja6!$E$21</f>
        <v>COKE</v>
      </c>
      <c r="E11" s="3"/>
      <c r="F11" s="3"/>
      <c r="G11" s="3"/>
      <c r="H11" s="1" t="s">
        <v>8</v>
      </c>
    </row>
    <row r="12" spans="1:10" ht="15.75" customHeight="1">
      <c r="A12" s="1" t="s">
        <v>14</v>
      </c>
      <c r="B12" s="1" t="s">
        <v>1</v>
      </c>
      <c r="C12" s="3">
        <f>Hoja6!$E$7</f>
        <v>2514</v>
      </c>
      <c r="D12" s="100">
        <f>Hoja6!$E7</f>
        <v>2514</v>
      </c>
      <c r="E12" s="3"/>
      <c r="F12" s="3"/>
      <c r="G12" s="3"/>
      <c r="H12" s="1" t="s">
        <v>15</v>
      </c>
      <c r="J12" s="1" t="s">
        <v>1</v>
      </c>
    </row>
    <row r="13" spans="1:11" ht="15.75" customHeight="1">
      <c r="A13" s="1" t="s">
        <v>16</v>
      </c>
      <c r="B13" s="1" t="s">
        <v>1</v>
      </c>
      <c r="C13" s="3">
        <f>Hoja6!$E$8</f>
        <v>1351</v>
      </c>
      <c r="D13" s="3">
        <f>Hoja6!$E$8</f>
        <v>1351</v>
      </c>
      <c r="E13" s="3"/>
      <c r="F13" s="3"/>
      <c r="G13" s="3"/>
      <c r="H13" s="3" t="s">
        <v>17</v>
      </c>
      <c r="J13" s="1" t="s">
        <v>1</v>
      </c>
      <c r="K13" s="1" t="str">
        <f>Hoja6!$E$14</f>
        <v>30th-11-03 at                 :          hrs</v>
      </c>
    </row>
    <row r="14" spans="1:11" ht="15.75" customHeight="1">
      <c r="A14" s="3" t="s">
        <v>18</v>
      </c>
      <c r="B14" s="1" t="s">
        <v>1</v>
      </c>
      <c r="C14" s="3">
        <f>Hoja6!$E$9</f>
        <v>3610</v>
      </c>
      <c r="D14" s="3">
        <f>Hoja6!$E$9</f>
        <v>3610</v>
      </c>
      <c r="E14" s="3"/>
      <c r="F14" s="3"/>
      <c r="G14" s="3"/>
      <c r="H14" s="1" t="s">
        <v>19</v>
      </c>
      <c r="J14" s="1" t="s">
        <v>1</v>
      </c>
      <c r="K14" s="1" t="str">
        <f>Hoja6!$E$15</f>
        <v>01st-12-03 at </v>
      </c>
    </row>
    <row r="15" spans="1:10" ht="15.75" customHeight="1">
      <c r="A15" s="47" t="s">
        <v>20</v>
      </c>
      <c r="B15" s="1" t="s">
        <v>1</v>
      </c>
      <c r="C15" s="3">
        <f>Hoja6!$E$10</f>
        <v>1319.95</v>
      </c>
      <c r="D15" s="100">
        <f>Hoja6!$E$10</f>
        <v>1319.95</v>
      </c>
      <c r="E15" s="3"/>
      <c r="F15" s="3"/>
      <c r="G15" s="3"/>
      <c r="H15" s="1" t="s">
        <v>21</v>
      </c>
      <c r="J15" s="1" t="s">
        <v>1</v>
      </c>
    </row>
    <row r="16" spans="1:7" ht="15.75" customHeight="1">
      <c r="A16" s="59" t="s">
        <v>306</v>
      </c>
      <c r="B16" s="59"/>
      <c r="C16" s="60" t="s">
        <v>8</v>
      </c>
      <c r="D16" s="60"/>
      <c r="E16" s="60"/>
      <c r="F16" s="60"/>
      <c r="G16" s="60"/>
    </row>
    <row r="17" spans="1:13" ht="15.75" customHeight="1">
      <c r="A17" s="3" t="s">
        <v>307</v>
      </c>
      <c r="B17" s="4"/>
      <c r="C17" s="5"/>
      <c r="D17" s="5"/>
      <c r="E17" s="34"/>
      <c r="F17" s="94" t="s">
        <v>22</v>
      </c>
      <c r="G17" s="34"/>
      <c r="H17" s="6"/>
      <c r="I17" s="4"/>
      <c r="J17" s="4"/>
      <c r="K17" s="2"/>
      <c r="L17" s="2"/>
      <c r="M17" s="2"/>
    </row>
    <row r="18" spans="1:13" ht="15.75" customHeight="1">
      <c r="A18" s="7" t="s">
        <v>305</v>
      </c>
      <c r="B18" s="8"/>
      <c r="C18" s="8"/>
      <c r="D18" s="8"/>
      <c r="E18" s="8"/>
      <c r="F18" s="8"/>
      <c r="G18" s="13"/>
      <c r="H18" s="9" t="s">
        <v>23</v>
      </c>
      <c r="I18" s="13"/>
      <c r="J18" s="8"/>
      <c r="K18" s="10" t="s">
        <v>24</v>
      </c>
      <c r="L18" s="11" t="s">
        <v>8</v>
      </c>
      <c r="M18" s="12"/>
    </row>
    <row r="19" spans="1:13" ht="15.75" customHeight="1">
      <c r="A19" s="7" t="s">
        <v>25</v>
      </c>
      <c r="B19" s="8" t="s">
        <v>26</v>
      </c>
      <c r="C19" s="13"/>
      <c r="D19" s="8"/>
      <c r="E19" s="8"/>
      <c r="F19" s="8"/>
      <c r="G19" s="13"/>
      <c r="H19" s="31">
        <f>Hoja6!$B$4</f>
        <v>1.53</v>
      </c>
      <c r="I19" s="99"/>
      <c r="J19" s="8" t="s">
        <v>8</v>
      </c>
      <c r="K19" s="31"/>
      <c r="L19" s="8"/>
      <c r="M19" s="13"/>
    </row>
    <row r="20" spans="1:13" ht="15.75" customHeight="1">
      <c r="A20" s="14" t="s">
        <v>27</v>
      </c>
      <c r="B20" s="15" t="s">
        <v>26</v>
      </c>
      <c r="C20" s="16"/>
      <c r="D20" s="15"/>
      <c r="E20" s="15"/>
      <c r="F20" s="15"/>
      <c r="G20" s="16"/>
      <c r="H20" s="24">
        <f>Hoja6!$B$5</f>
        <v>1.52</v>
      </c>
      <c r="I20" s="92"/>
      <c r="J20" s="15"/>
      <c r="K20" s="24"/>
      <c r="L20" s="8"/>
      <c r="M20" s="16"/>
    </row>
    <row r="21" spans="1:13" ht="15.75" customHeight="1">
      <c r="A21" s="17" t="s">
        <v>28</v>
      </c>
      <c r="B21" s="18" t="s">
        <v>26</v>
      </c>
      <c r="C21" s="19"/>
      <c r="D21" s="18"/>
      <c r="E21" s="18"/>
      <c r="F21" s="18"/>
      <c r="G21" s="19"/>
      <c r="H21" s="25">
        <f>(H19+H20)/2</f>
        <v>1.525</v>
      </c>
      <c r="I21" s="92"/>
      <c r="J21" s="18"/>
      <c r="K21" s="25"/>
      <c r="L21" s="8"/>
      <c r="M21" s="19"/>
    </row>
    <row r="22" spans="1:13" ht="15.75" customHeight="1">
      <c r="A22" s="5" t="s">
        <v>29</v>
      </c>
      <c r="B22" s="15" t="s">
        <v>26</v>
      </c>
      <c r="C22" s="16"/>
      <c r="D22" s="15"/>
      <c r="E22" s="15"/>
      <c r="F22" s="15"/>
      <c r="G22" s="16"/>
      <c r="H22" s="61">
        <f>ABS(H27-H21)*Hoja6!$B14/(Hoja6!$B13-Hoja6!$B14-Hoja6!$B15)</f>
        <v>0.04522443890274314</v>
      </c>
      <c r="I22" s="92"/>
      <c r="J22" s="15"/>
      <c r="K22" s="61"/>
      <c r="L22" s="8"/>
      <c r="M22" s="16"/>
    </row>
    <row r="23" spans="1:13" ht="15.75" customHeight="1">
      <c r="A23" s="98" t="s">
        <v>30</v>
      </c>
      <c r="B23" s="21" t="s">
        <v>26</v>
      </c>
      <c r="C23" s="22"/>
      <c r="D23" s="21"/>
      <c r="E23" s="21"/>
      <c r="F23" s="21"/>
      <c r="G23" s="22"/>
      <c r="H23" s="29">
        <f>H21-((H27-H21)*Hoja6!$B14/(Hoja6!$B13-Hoja6!$B14-Hoja6!$B15))</f>
        <v>1.4797755610972567</v>
      </c>
      <c r="I23" s="93"/>
      <c r="J23" s="21"/>
      <c r="K23" s="29"/>
      <c r="L23" s="15"/>
      <c r="M23" s="22"/>
    </row>
    <row r="24" ht="15.75" customHeight="1">
      <c r="K24" s="32"/>
    </row>
    <row r="25" spans="1:13" ht="15.75" customHeight="1">
      <c r="A25" s="7" t="s">
        <v>31</v>
      </c>
      <c r="B25" s="8" t="s">
        <v>26</v>
      </c>
      <c r="C25" s="8"/>
      <c r="D25" s="8"/>
      <c r="E25" s="8"/>
      <c r="F25" s="8"/>
      <c r="G25" s="8"/>
      <c r="H25" s="30">
        <f>Hoja6!$B$7</f>
        <v>3.54</v>
      </c>
      <c r="I25" s="93"/>
      <c r="J25" s="8"/>
      <c r="K25" s="31"/>
      <c r="L25" s="15"/>
      <c r="M25" s="13"/>
    </row>
    <row r="26" spans="1:13" ht="15.75" customHeight="1">
      <c r="A26" s="14" t="s">
        <v>32</v>
      </c>
      <c r="B26" s="15" t="s">
        <v>26</v>
      </c>
      <c r="C26" s="15"/>
      <c r="D26" s="15"/>
      <c r="E26" s="15"/>
      <c r="F26" s="15"/>
      <c r="G26" s="15"/>
      <c r="H26" s="26">
        <f>Hoja6!$B$8</f>
        <v>3.54</v>
      </c>
      <c r="I26" s="93"/>
      <c r="J26" s="15"/>
      <c r="K26" s="24"/>
      <c r="L26" s="15"/>
      <c r="M26" s="16"/>
    </row>
    <row r="27" spans="1:13" ht="15.75" customHeight="1">
      <c r="A27" s="17" t="s">
        <v>33</v>
      </c>
      <c r="B27" s="18" t="s">
        <v>26</v>
      </c>
      <c r="C27" s="18"/>
      <c r="D27" s="18"/>
      <c r="E27" s="18"/>
      <c r="F27" s="18"/>
      <c r="G27" s="18"/>
      <c r="H27" s="27">
        <f>(H25+H26)/2</f>
        <v>3.54</v>
      </c>
      <c r="I27" s="93"/>
      <c r="J27" s="18"/>
      <c r="K27" s="25"/>
      <c r="L27" s="15"/>
      <c r="M27" s="19"/>
    </row>
    <row r="28" spans="1:13" ht="15.75" customHeight="1">
      <c r="A28" s="5" t="s">
        <v>34</v>
      </c>
      <c r="B28" s="15" t="s">
        <v>26</v>
      </c>
      <c r="C28" s="15"/>
      <c r="D28" s="15"/>
      <c r="E28" s="15"/>
      <c r="F28" s="15"/>
      <c r="G28" s="15"/>
      <c r="H28" s="50">
        <f>ABS(H27-H21)*Hoja6!$B15/(Hoja6!$B13-Hoja6!$B14-Hoja6!$B15)</f>
        <v>-0.025124688279301748</v>
      </c>
      <c r="I28" s="93"/>
      <c r="J28" s="15"/>
      <c r="K28" s="61"/>
      <c r="L28" s="15"/>
      <c r="M28" s="16"/>
    </row>
    <row r="29" spans="1:13" ht="15.75" customHeight="1">
      <c r="A29" s="5" t="s">
        <v>35</v>
      </c>
      <c r="B29" s="15" t="s">
        <v>26</v>
      </c>
      <c r="C29" s="15"/>
      <c r="D29" s="15"/>
      <c r="E29" s="15"/>
      <c r="F29" s="15"/>
      <c r="G29" s="15"/>
      <c r="H29" s="26">
        <f>H27+((H27-H21)*Hoja6!$B15/(Hoja6!$B13-Hoja6!$B14-Hoja6!$B15))</f>
        <v>3.514875311720698</v>
      </c>
      <c r="I29" s="93"/>
      <c r="J29" s="15"/>
      <c r="K29" s="24"/>
      <c r="L29" s="15"/>
      <c r="M29" s="16"/>
    </row>
    <row r="30" spans="1:13" ht="15.75" customHeight="1">
      <c r="A30" s="20" t="s">
        <v>36</v>
      </c>
      <c r="B30" s="21" t="s">
        <v>26</v>
      </c>
      <c r="C30" s="21"/>
      <c r="D30" s="21"/>
      <c r="E30" s="21"/>
      <c r="F30" s="21"/>
      <c r="G30" s="21"/>
      <c r="H30" s="28">
        <f>(H23+H29)/2</f>
        <v>2.4973254364089774</v>
      </c>
      <c r="I30" s="93"/>
      <c r="J30" s="21"/>
      <c r="K30" s="29"/>
      <c r="L30" s="15"/>
      <c r="M30" s="22"/>
    </row>
    <row r="31" ht="15.75" customHeight="1">
      <c r="K31" s="32"/>
    </row>
    <row r="32" spans="1:13" ht="15.75" customHeight="1">
      <c r="A32" s="7" t="s">
        <v>37</v>
      </c>
      <c r="B32" s="8" t="s">
        <v>26</v>
      </c>
      <c r="C32" s="8"/>
      <c r="D32" s="8"/>
      <c r="E32" s="8"/>
      <c r="F32" s="8"/>
      <c r="G32" s="8"/>
      <c r="H32" s="30">
        <f>Hoja6!$B$10</f>
        <v>2.343</v>
      </c>
      <c r="I32" s="93"/>
      <c r="J32" s="8"/>
      <c r="K32" s="31"/>
      <c r="L32" s="15"/>
      <c r="M32" s="13"/>
    </row>
    <row r="33" spans="1:13" ht="15.75" customHeight="1">
      <c r="A33" s="14" t="s">
        <v>38</v>
      </c>
      <c r="B33" s="15" t="s">
        <v>26</v>
      </c>
      <c r="C33" s="15"/>
      <c r="D33" s="15"/>
      <c r="E33" s="15"/>
      <c r="F33" s="15"/>
      <c r="G33" s="15"/>
      <c r="H33" s="26">
        <f>Hoja6!$B$11</f>
        <v>2.543</v>
      </c>
      <c r="I33" s="93"/>
      <c r="J33" s="15"/>
      <c r="K33" s="24"/>
      <c r="L33" s="15"/>
      <c r="M33" s="16"/>
    </row>
    <row r="34" spans="1:13" ht="15.75" customHeight="1">
      <c r="A34" s="17" t="s">
        <v>39</v>
      </c>
      <c r="B34" s="18" t="s">
        <v>26</v>
      </c>
      <c r="C34" s="18"/>
      <c r="D34" s="18"/>
      <c r="E34" s="18"/>
      <c r="F34" s="18"/>
      <c r="G34" s="18"/>
      <c r="H34" s="27">
        <f>(H32+H33)/2</f>
        <v>2.443</v>
      </c>
      <c r="I34" s="93"/>
      <c r="J34" s="18"/>
      <c r="K34" s="25"/>
      <c r="L34" s="15"/>
      <c r="M34" s="19"/>
    </row>
    <row r="35" spans="1:13" ht="15.75" customHeight="1">
      <c r="A35" s="5" t="s">
        <v>34</v>
      </c>
      <c r="B35" s="15" t="s">
        <v>26</v>
      </c>
      <c r="C35" s="15"/>
      <c r="D35" s="15"/>
      <c r="E35" s="15"/>
      <c r="F35" s="15"/>
      <c r="G35" s="15"/>
      <c r="H35" s="50">
        <f>ABS(H27-H21)*Hoja6!$B16/(Hoja6!$B13-Hoja6!$B14-Hoja6!$B15)</f>
        <v>0</v>
      </c>
      <c r="I35" s="93"/>
      <c r="J35" s="15"/>
      <c r="K35" s="61"/>
      <c r="L35" s="15"/>
      <c r="M35" s="16"/>
    </row>
    <row r="36" spans="1:13" ht="15.75" customHeight="1">
      <c r="A36" s="20" t="s">
        <v>40</v>
      </c>
      <c r="B36" s="21" t="s">
        <v>26</v>
      </c>
      <c r="C36" s="21"/>
      <c r="D36" s="21"/>
      <c r="E36" s="21"/>
      <c r="F36" s="21"/>
      <c r="G36" s="21"/>
      <c r="H36" s="28">
        <f>H34+((H27-H21)*Hoja6!$B16/(Hoja6!$B13-Hoja6!$B14-Hoja6!$B15))</f>
        <v>2.443</v>
      </c>
      <c r="I36" s="93"/>
      <c r="J36" s="21"/>
      <c r="K36" s="29"/>
      <c r="L36" s="15"/>
      <c r="M36" s="22"/>
    </row>
    <row r="37" spans="1:11" ht="15.75" customHeight="1">
      <c r="A37" s="91" t="s">
        <v>257</v>
      </c>
      <c r="K37" s="32"/>
    </row>
    <row r="38" ht="15.75" customHeight="1">
      <c r="K38" s="32"/>
    </row>
    <row r="39" ht="15.75" customHeight="1">
      <c r="K39" s="32"/>
    </row>
    <row r="40" ht="15.75" customHeight="1">
      <c r="K40" s="32"/>
    </row>
    <row r="41" ht="15.75" customHeight="1">
      <c r="K41" s="32"/>
    </row>
    <row r="42" ht="15.75" customHeight="1">
      <c r="K42" s="32"/>
    </row>
    <row r="43" ht="15.75" customHeight="1">
      <c r="K43" s="32"/>
    </row>
    <row r="44" ht="15.75" customHeight="1">
      <c r="K44" s="1" t="s">
        <v>8</v>
      </c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21">
      <selection activeCell="I35" sqref="I35"/>
    </sheetView>
  </sheetViews>
  <sheetFormatPr defaultColWidth="9.33203125" defaultRowHeight="15.75" customHeight="1"/>
  <cols>
    <col min="1" max="1" width="26.66015625" style="1" customWidth="1"/>
    <col min="2" max="2" width="2.33203125" style="1" customWidth="1"/>
    <col min="3" max="3" width="16.83203125" style="1" customWidth="1"/>
    <col min="4" max="4" width="9.83203125" style="1" customWidth="1"/>
    <col min="5" max="5" width="13.5" style="1" customWidth="1"/>
    <col min="6" max="6" width="4.83203125" style="1" customWidth="1"/>
    <col min="7" max="7" width="13.5" style="1" customWidth="1"/>
    <col min="8" max="8" width="4.33203125" style="1" customWidth="1"/>
    <col min="9" max="16384" width="12" style="1" customWidth="1"/>
  </cols>
  <sheetData>
    <row r="1" spans="1:8" ht="15.75" customHeight="1">
      <c r="A1" s="14"/>
      <c r="B1" s="15" t="s">
        <v>8</v>
      </c>
      <c r="C1" s="15"/>
      <c r="D1" s="15"/>
      <c r="E1" s="15" t="s">
        <v>41</v>
      </c>
      <c r="F1" s="15" t="s">
        <v>8</v>
      </c>
      <c r="G1" s="15" t="s">
        <v>42</v>
      </c>
      <c r="H1" s="16" t="s">
        <v>8</v>
      </c>
    </row>
    <row r="2" spans="1:8" ht="15.75" customHeight="1">
      <c r="A2" s="5" t="s">
        <v>43</v>
      </c>
      <c r="B2" s="15"/>
      <c r="C2" s="21" t="s">
        <v>26</v>
      </c>
      <c r="D2" s="15"/>
      <c r="E2" s="26">
        <f>Hoja1!$H29-Hoja1!$H23</f>
        <v>2.0350997506234414</v>
      </c>
      <c r="F2" s="16"/>
      <c r="G2" s="24"/>
      <c r="H2" s="16"/>
    </row>
    <row r="3" spans="1:8" ht="15.75" customHeight="1">
      <c r="A3" s="98" t="s">
        <v>44</v>
      </c>
      <c r="B3" s="21"/>
      <c r="C3" s="21" t="s">
        <v>26</v>
      </c>
      <c r="D3" s="21"/>
      <c r="E3" s="28">
        <f>E5-E6</f>
        <v>-0.05432543640897736</v>
      </c>
      <c r="F3" s="16"/>
      <c r="G3" s="29"/>
      <c r="H3" s="16"/>
    </row>
    <row r="4" spans="3:6" ht="15.75" customHeight="1">
      <c r="C4" s="21"/>
      <c r="F4" s="1" t="s">
        <v>8</v>
      </c>
    </row>
    <row r="5" spans="1:8" ht="15.75" customHeight="1">
      <c r="A5" s="90" t="s">
        <v>45</v>
      </c>
      <c r="B5" s="8"/>
      <c r="C5" s="21" t="s">
        <v>26</v>
      </c>
      <c r="D5" s="13"/>
      <c r="E5" s="31">
        <f>Hoja1!$H$36</f>
        <v>2.443</v>
      </c>
      <c r="F5" s="16"/>
      <c r="G5" s="31"/>
      <c r="H5" s="16"/>
    </row>
    <row r="6" spans="1:8" ht="15.75" customHeight="1">
      <c r="A6" s="14" t="s">
        <v>46</v>
      </c>
      <c r="B6" s="15"/>
      <c r="C6" s="21" t="s">
        <v>26</v>
      </c>
      <c r="D6" s="16"/>
      <c r="E6" s="24">
        <f>Hoja1!$H$30</f>
        <v>2.4973254364089774</v>
      </c>
      <c r="F6" s="16"/>
      <c r="G6" s="24"/>
      <c r="H6" s="16"/>
    </row>
    <row r="7" spans="1:8" ht="15.75" customHeight="1">
      <c r="A7" s="33" t="s">
        <v>47</v>
      </c>
      <c r="B7" s="18"/>
      <c r="C7" s="21" t="s">
        <v>26</v>
      </c>
      <c r="D7" s="19"/>
      <c r="E7" s="25">
        <f>(E5+E6)/2</f>
        <v>2.470162718204489</v>
      </c>
      <c r="F7" s="16"/>
      <c r="G7" s="25"/>
      <c r="H7" s="16"/>
    </row>
    <row r="8" spans="1:8" ht="15.75" customHeight="1">
      <c r="A8" s="14" t="s">
        <v>48</v>
      </c>
      <c r="B8" s="15"/>
      <c r="C8" s="21" t="s">
        <v>26</v>
      </c>
      <c r="D8" s="16"/>
      <c r="E8" s="24">
        <f>Hoja1!$H$36</f>
        <v>2.443</v>
      </c>
      <c r="F8" s="16"/>
      <c r="G8" s="24"/>
      <c r="H8" s="16"/>
    </row>
    <row r="9" spans="1:8" ht="15.75" customHeight="1">
      <c r="A9" s="5" t="s">
        <v>49</v>
      </c>
      <c r="B9" s="15"/>
      <c r="C9" s="21" t="s">
        <v>26</v>
      </c>
      <c r="D9" s="16"/>
      <c r="E9" s="24">
        <f>Hoja6!$B$12</f>
        <v>-0.0014</v>
      </c>
      <c r="F9" s="131" t="s">
        <v>8</v>
      </c>
      <c r="G9" s="24">
        <f>Hoja6!$B$12</f>
        <v>-0.0014</v>
      </c>
      <c r="H9" s="16"/>
    </row>
    <row r="10" spans="1:8" ht="15.75" customHeight="1">
      <c r="A10" s="20" t="s">
        <v>50</v>
      </c>
      <c r="B10" s="21"/>
      <c r="C10" s="21" t="s">
        <v>26</v>
      </c>
      <c r="D10" s="22"/>
      <c r="E10" s="29">
        <f>(E8+E7)/2+Hoja6!$B12</f>
        <v>2.455181359102245</v>
      </c>
      <c r="F10" s="16"/>
      <c r="G10" s="29"/>
      <c r="H10" s="16"/>
    </row>
    <row r="11" spans="3:6" ht="15.75" customHeight="1">
      <c r="C11" s="21"/>
      <c r="F11" s="1" t="s">
        <v>8</v>
      </c>
    </row>
    <row r="12" spans="1:8" ht="15.75" customHeight="1">
      <c r="A12" s="90" t="s">
        <v>51</v>
      </c>
      <c r="B12" s="8"/>
      <c r="C12" s="21" t="s">
        <v>26</v>
      </c>
      <c r="D12" s="13"/>
      <c r="E12" s="35">
        <f>Hoja6!$B$29</f>
        <v>2039.66</v>
      </c>
      <c r="F12" s="16"/>
      <c r="G12" s="35"/>
      <c r="H12" s="13"/>
    </row>
    <row r="13" spans="1:8" ht="15.75" customHeight="1">
      <c r="A13" s="14" t="s">
        <v>52</v>
      </c>
      <c r="B13" s="15"/>
      <c r="C13" s="21" t="s">
        <v>26</v>
      </c>
      <c r="D13" s="16"/>
      <c r="E13" s="62">
        <f>((Hoja1!$H29-Hoja1!$H23)*Hoja3!$C7*Hoja3!$E7*100/Hoja3!$B10)+(Hoja1!$H29-Hoja1!$H23)^2*50*Hoja3!$F7/Hoja3!$B10</f>
        <v>-36.30358390767159</v>
      </c>
      <c r="F13" s="16"/>
      <c r="G13" s="62"/>
      <c r="H13" s="16"/>
    </row>
    <row r="14" spans="1:8" ht="15.75" customHeight="1">
      <c r="A14" s="17" t="s">
        <v>53</v>
      </c>
      <c r="B14" s="18"/>
      <c r="C14" s="21" t="s">
        <v>26</v>
      </c>
      <c r="D14" s="19"/>
      <c r="E14" s="37">
        <f>E12+E13</f>
        <v>2003.3564160923286</v>
      </c>
      <c r="F14" s="19"/>
      <c r="G14" s="37"/>
      <c r="H14" s="19"/>
    </row>
    <row r="15" spans="1:8" ht="15.75" customHeight="1">
      <c r="A15" s="14" t="s">
        <v>54</v>
      </c>
      <c r="B15" s="15"/>
      <c r="C15" s="21" t="s">
        <v>26</v>
      </c>
      <c r="D15" s="16"/>
      <c r="E15" s="62">
        <f>((Hoja6!$B17-1.025)/1.025)*E14</f>
        <v>-58.63482193440946</v>
      </c>
      <c r="F15" s="16"/>
      <c r="G15" s="62"/>
      <c r="H15" s="16"/>
    </row>
    <row r="16" spans="1:8" ht="15.75" customHeight="1">
      <c r="A16" s="17" t="s">
        <v>55</v>
      </c>
      <c r="B16" s="18"/>
      <c r="C16" s="21" t="s">
        <v>26</v>
      </c>
      <c r="D16" s="19"/>
      <c r="E16" s="37">
        <f>E14+E15</f>
        <v>1944.721594157919</v>
      </c>
      <c r="F16" s="19"/>
      <c r="G16" s="37"/>
      <c r="H16" s="19"/>
    </row>
    <row r="17" spans="1:8" ht="15.75" customHeight="1">
      <c r="A17" s="5" t="s">
        <v>56</v>
      </c>
      <c r="B17" s="15"/>
      <c r="C17" s="21" t="s">
        <v>26</v>
      </c>
      <c r="D17" s="16"/>
      <c r="E17" s="36">
        <f>E37</f>
        <v>563.6</v>
      </c>
      <c r="F17" s="16"/>
      <c r="G17" s="36"/>
      <c r="H17" s="16"/>
    </row>
    <row r="18" spans="1:8" ht="15.75" customHeight="1">
      <c r="A18" s="20" t="s">
        <v>57</v>
      </c>
      <c r="B18" s="21"/>
      <c r="C18" s="21" t="s">
        <v>26</v>
      </c>
      <c r="D18" s="22"/>
      <c r="E18" s="38">
        <f>E16-E17</f>
        <v>1381.121594157919</v>
      </c>
      <c r="F18" s="22"/>
      <c r="G18" s="38"/>
      <c r="H18" s="22"/>
    </row>
    <row r="19" spans="3:8" ht="15.75" customHeight="1">
      <c r="C19" s="21"/>
      <c r="D19" s="21"/>
      <c r="E19" s="21"/>
      <c r="F19" s="21"/>
      <c r="G19" s="21"/>
      <c r="H19" s="21"/>
    </row>
    <row r="20" spans="1:8" ht="15.75" customHeight="1">
      <c r="A20" s="90" t="s">
        <v>58</v>
      </c>
      <c r="B20" s="8"/>
      <c r="C20" s="22"/>
      <c r="D20" s="21"/>
      <c r="E20" s="57">
        <f>ROUND(G18,0)</f>
        <v>0</v>
      </c>
      <c r="F20" s="1" t="s">
        <v>59</v>
      </c>
      <c r="H20" s="19"/>
    </row>
    <row r="21" spans="1:8" ht="15.75" customHeight="1">
      <c r="A21" s="5" t="s">
        <v>60</v>
      </c>
      <c r="B21" s="15"/>
      <c r="C21" s="22"/>
      <c r="D21" s="21"/>
      <c r="E21" s="57">
        <f>ROUND(E18,0)</f>
        <v>1381</v>
      </c>
      <c r="F21" s="15" t="s">
        <v>61</v>
      </c>
      <c r="G21" s="15"/>
      <c r="H21" s="16"/>
    </row>
    <row r="22" spans="1:8" ht="15.75" customHeight="1">
      <c r="A22" s="122" t="s">
        <v>62</v>
      </c>
      <c r="B22" s="123"/>
      <c r="C22" s="124" t="s">
        <v>26</v>
      </c>
      <c r="D22" s="123"/>
      <c r="E22" s="125"/>
      <c r="F22" s="123" t="s">
        <v>61</v>
      </c>
      <c r="G22" s="126"/>
      <c r="H22" s="127"/>
    </row>
    <row r="23" spans="1:8" ht="15.75" customHeight="1">
      <c r="A23" s="14" t="s">
        <v>299</v>
      </c>
      <c r="B23" s="15"/>
      <c r="C23" s="22"/>
      <c r="D23" s="15"/>
      <c r="E23" s="94"/>
      <c r="F23" s="15"/>
      <c r="G23" s="15"/>
      <c r="H23" s="16"/>
    </row>
    <row r="24" spans="1:8" ht="15.75" customHeight="1">
      <c r="A24" s="20"/>
      <c r="B24" s="21"/>
      <c r="C24" s="22"/>
      <c r="D24" s="21"/>
      <c r="E24" s="21"/>
      <c r="F24" s="21"/>
      <c r="G24" s="21"/>
      <c r="H24" s="22"/>
    </row>
    <row r="25" spans="1:8" ht="15.75" customHeight="1">
      <c r="A25" s="20"/>
      <c r="B25" s="21"/>
      <c r="C25" s="21"/>
      <c r="D25" s="21"/>
      <c r="E25" s="21"/>
      <c r="F25" s="21"/>
      <c r="G25" s="21"/>
      <c r="H25" s="22"/>
    </row>
    <row r="26" spans="1:8" ht="15.75" customHeight="1">
      <c r="A26" s="18"/>
      <c r="B26" s="18"/>
      <c r="C26" s="18"/>
      <c r="D26" s="18"/>
      <c r="E26" s="18"/>
      <c r="F26" s="18"/>
      <c r="G26" s="18"/>
      <c r="H26" s="18"/>
    </row>
    <row r="28" spans="1:8" ht="15.75" customHeight="1">
      <c r="A28" s="14"/>
      <c r="B28" s="15"/>
      <c r="C28" s="15"/>
      <c r="D28" s="15"/>
      <c r="E28" s="34" t="s">
        <v>63</v>
      </c>
      <c r="F28" s="15"/>
      <c r="G28" s="15"/>
      <c r="H28" s="16"/>
    </row>
    <row r="29" spans="1:8" ht="15.75" customHeight="1">
      <c r="A29" s="14"/>
      <c r="B29" s="15"/>
      <c r="C29" s="15"/>
      <c r="D29" s="15"/>
      <c r="E29" s="34" t="s">
        <v>64</v>
      </c>
      <c r="F29" s="15"/>
      <c r="G29" s="34" t="s">
        <v>65</v>
      </c>
      <c r="H29" s="16"/>
    </row>
    <row r="30" spans="1:8" ht="15.75" customHeight="1">
      <c r="A30" s="7" t="s">
        <v>66</v>
      </c>
      <c r="B30" s="8"/>
      <c r="C30" s="21" t="s">
        <v>26</v>
      </c>
      <c r="D30" s="13"/>
      <c r="E30" s="65">
        <f>Hoja6!$B$18</f>
        <v>34.7</v>
      </c>
      <c r="F30" s="13"/>
      <c r="G30" s="65"/>
      <c r="H30" s="13"/>
    </row>
    <row r="31" spans="1:8" ht="15.75" customHeight="1">
      <c r="A31" s="14" t="s">
        <v>67</v>
      </c>
      <c r="B31" s="15"/>
      <c r="C31" s="21" t="s">
        <v>26</v>
      </c>
      <c r="D31" s="16"/>
      <c r="E31" s="23">
        <f>Hoja6!$B$19</f>
        <v>0</v>
      </c>
      <c r="F31" s="16"/>
      <c r="G31" s="23"/>
      <c r="H31" s="16"/>
    </row>
    <row r="32" spans="1:8" ht="15.75" customHeight="1">
      <c r="A32" s="20" t="s">
        <v>68</v>
      </c>
      <c r="B32" s="21"/>
      <c r="C32" s="21" t="s">
        <v>26</v>
      </c>
      <c r="D32" s="22"/>
      <c r="E32" s="64">
        <f>Hoja6!$B$20</f>
        <v>490</v>
      </c>
      <c r="F32" s="22"/>
      <c r="G32" s="64"/>
      <c r="H32" s="22"/>
    </row>
    <row r="33" spans="1:8" ht="15.75" customHeight="1">
      <c r="A33" s="17" t="s">
        <v>69</v>
      </c>
      <c r="B33" s="18"/>
      <c r="C33" s="21" t="s">
        <v>26</v>
      </c>
      <c r="D33" s="19"/>
      <c r="E33" s="56">
        <f>Hoja6!$B$21</f>
        <v>31</v>
      </c>
      <c r="F33" s="19"/>
      <c r="G33" s="66"/>
      <c r="H33" s="19"/>
    </row>
    <row r="34" spans="1:8" ht="15.75" customHeight="1">
      <c r="A34" s="14" t="s">
        <v>70</v>
      </c>
      <c r="B34" s="15"/>
      <c r="C34" s="21" t="s">
        <v>26</v>
      </c>
      <c r="D34" s="16"/>
      <c r="E34" s="23">
        <f>Hoja6!$B$22</f>
        <v>6.9</v>
      </c>
      <c r="F34" s="16"/>
      <c r="G34" s="23"/>
      <c r="H34" s="16"/>
    </row>
    <row r="35" spans="1:8" ht="15.75" customHeight="1">
      <c r="A35" s="20" t="s">
        <v>71</v>
      </c>
      <c r="B35" s="21"/>
      <c r="C35" s="21" t="s">
        <v>26</v>
      </c>
      <c r="D35" s="22"/>
      <c r="E35" s="64">
        <f>Hoja6!$B$23</f>
        <v>1</v>
      </c>
      <c r="F35" s="22"/>
      <c r="G35" s="64"/>
      <c r="H35" s="22"/>
    </row>
    <row r="36" spans="1:8" ht="15.75" customHeight="1">
      <c r="A36" s="20" t="s">
        <v>72</v>
      </c>
      <c r="B36" s="21"/>
      <c r="C36" s="21" t="s">
        <v>26</v>
      </c>
      <c r="D36" s="22"/>
      <c r="E36" s="64">
        <f>Hoja6!$B$24</f>
        <v>0</v>
      </c>
      <c r="F36" s="22"/>
      <c r="G36" s="64"/>
      <c r="H36" s="22"/>
    </row>
    <row r="37" spans="1:8" ht="15.75" customHeight="1">
      <c r="A37" s="98" t="s">
        <v>56</v>
      </c>
      <c r="B37" s="21"/>
      <c r="C37" s="21" t="s">
        <v>26</v>
      </c>
      <c r="D37" s="22"/>
      <c r="E37" s="64">
        <f>SUM(E30:E36)</f>
        <v>563.6</v>
      </c>
      <c r="F37" s="22"/>
      <c r="G37" s="64"/>
      <c r="H37" s="22"/>
    </row>
    <row r="38" ht="15.75" customHeight="1">
      <c r="A38" s="91" t="s">
        <v>258</v>
      </c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showGridLines="0" workbookViewId="0" topLeftCell="A1">
      <selection activeCell="J6" sqref="J6"/>
    </sheetView>
  </sheetViews>
  <sheetFormatPr defaultColWidth="9.33203125" defaultRowHeight="12.75"/>
  <cols>
    <col min="1" max="1" width="12" style="1" customWidth="1"/>
    <col min="2" max="2" width="17" style="1" customWidth="1"/>
    <col min="3" max="3" width="13.83203125" style="1" customWidth="1"/>
    <col min="4" max="4" width="8.83203125" style="1" customWidth="1"/>
    <col min="5" max="5" width="16.83203125" style="1" customWidth="1"/>
    <col min="6" max="6" width="10.83203125" style="1" customWidth="1"/>
    <col min="7" max="7" width="11.83203125" style="1" customWidth="1"/>
    <col min="8" max="16384" width="12" style="1" customWidth="1"/>
  </cols>
  <sheetData>
    <row r="2" ht="12.75">
      <c r="C2" s="1" t="s">
        <v>73</v>
      </c>
    </row>
    <row r="5" spans="1:7" ht="18" customHeight="1">
      <c r="A5" s="40" t="s">
        <v>74</v>
      </c>
      <c r="B5" s="41" t="s">
        <v>75</v>
      </c>
      <c r="C5" s="40" t="s">
        <v>76</v>
      </c>
      <c r="D5" s="40" t="s">
        <v>77</v>
      </c>
      <c r="E5" s="95" t="s">
        <v>78</v>
      </c>
      <c r="F5" s="95" t="s">
        <v>79</v>
      </c>
      <c r="G5" s="46" t="s">
        <v>80</v>
      </c>
    </row>
    <row r="6" spans="1:7" ht="18" customHeight="1">
      <c r="A6" s="95" t="s">
        <v>81</v>
      </c>
      <c r="B6" s="75" t="s">
        <v>82</v>
      </c>
      <c r="C6" s="48" t="s">
        <v>83</v>
      </c>
      <c r="D6" s="40" t="s">
        <v>81</v>
      </c>
      <c r="E6" s="40" t="s">
        <v>84</v>
      </c>
      <c r="F6" s="41"/>
      <c r="G6" s="46"/>
    </row>
    <row r="7" spans="1:7" ht="18" customHeight="1">
      <c r="A7" s="43">
        <f>Hoja6!$A$29</f>
        <v>2.4552</v>
      </c>
      <c r="B7" s="42">
        <f>Hoja6!$B$29</f>
        <v>2039.66</v>
      </c>
      <c r="C7" s="44">
        <f>Hoja6!$C$29</f>
        <v>8.75</v>
      </c>
      <c r="D7" s="44">
        <f>Hoja2!$E$2</f>
        <v>2.0350997506234414</v>
      </c>
      <c r="E7" s="44">
        <f>Hoja6!$D$29</f>
        <v>-2.02</v>
      </c>
      <c r="F7" s="44">
        <f>Hoja6!$F$29</f>
        <v>3.17</v>
      </c>
      <c r="G7" s="46">
        <f>Hoja6!$B$17</f>
        <v>0.995</v>
      </c>
    </row>
    <row r="8" spans="1:7" ht="18" customHeight="1">
      <c r="A8" s="43"/>
      <c r="B8" s="43"/>
      <c r="C8" s="43"/>
      <c r="D8" s="43"/>
      <c r="E8" s="43"/>
      <c r="F8" s="43"/>
      <c r="G8" s="43"/>
    </row>
    <row r="9" spans="1:7" ht="18" customHeight="1">
      <c r="A9" s="43"/>
      <c r="B9" s="42"/>
      <c r="C9" s="44"/>
      <c r="D9" s="44"/>
      <c r="E9" s="44"/>
      <c r="F9" s="44"/>
      <c r="G9" s="46">
        <f>Hoja6!$C$17</f>
        <v>0</v>
      </c>
    </row>
    <row r="10" spans="1:7" ht="12.75">
      <c r="A10" s="40" t="s">
        <v>85</v>
      </c>
      <c r="B10" s="40">
        <f>Hoja6!$B$13</f>
        <v>81</v>
      </c>
      <c r="C10" s="41"/>
      <c r="D10" s="18"/>
      <c r="E10" s="18"/>
      <c r="F10" s="18"/>
      <c r="G10" s="18"/>
    </row>
    <row r="11" spans="1:3" ht="12.75">
      <c r="A11" s="48" t="s">
        <v>8</v>
      </c>
      <c r="B11" s="48" t="s">
        <v>8</v>
      </c>
      <c r="C11" s="48" t="s">
        <v>8</v>
      </c>
    </row>
    <row r="12" spans="1:3" ht="12.75">
      <c r="A12" s="18" t="s">
        <v>8</v>
      </c>
      <c r="B12" s="48" t="s">
        <v>8</v>
      </c>
      <c r="C12" s="48" t="s">
        <v>8</v>
      </c>
    </row>
    <row r="13" spans="1:3" ht="12.75">
      <c r="A13" s="18" t="s">
        <v>8</v>
      </c>
      <c r="B13" s="48" t="s">
        <v>8</v>
      </c>
      <c r="C13" s="48" t="s">
        <v>8</v>
      </c>
    </row>
    <row r="17" ht="12.75">
      <c r="A17" s="1" t="s">
        <v>86</v>
      </c>
    </row>
    <row r="18" spans="2:7" ht="12.75">
      <c r="B18" s="15"/>
      <c r="C18" s="15"/>
      <c r="D18" s="15"/>
      <c r="E18" s="15"/>
      <c r="F18" s="15"/>
      <c r="G18" s="15"/>
    </row>
    <row r="19" spans="2:7" ht="12.75">
      <c r="B19" s="15"/>
      <c r="C19" s="15"/>
      <c r="D19" s="15"/>
      <c r="E19" s="15"/>
      <c r="F19" s="15"/>
      <c r="G19" s="15"/>
    </row>
    <row r="20" spans="2:7" ht="12.75">
      <c r="B20" s="15"/>
      <c r="C20" s="15"/>
      <c r="D20" s="15"/>
      <c r="E20" s="15"/>
      <c r="F20" s="15"/>
      <c r="G20" s="15"/>
    </row>
    <row r="25" spans="1:7" ht="12.75">
      <c r="A25" s="1" t="s">
        <v>87</v>
      </c>
      <c r="D25" s="21" t="str">
        <f>Hoja6!$E$17</f>
        <v>CALM</v>
      </c>
      <c r="E25" s="21"/>
      <c r="F25" s="21"/>
      <c r="G25" s="21"/>
    </row>
    <row r="26" spans="1:7" ht="12.75">
      <c r="A26" s="1" t="s">
        <v>88</v>
      </c>
      <c r="D26" s="21"/>
      <c r="E26" s="15"/>
      <c r="F26" s="21"/>
      <c r="G26" s="21"/>
    </row>
    <row r="27" spans="1:7" ht="12.75">
      <c r="A27" s="1" t="s">
        <v>89</v>
      </c>
      <c r="D27" s="21"/>
      <c r="E27" s="15"/>
      <c r="F27" s="21"/>
      <c r="G27" s="21"/>
    </row>
    <row r="34" ht="12.75">
      <c r="A34" s="47" t="s">
        <v>90</v>
      </c>
    </row>
    <row r="35" spans="1:7" ht="12.75">
      <c r="A35" s="3" t="s">
        <v>91</v>
      </c>
      <c r="F35" s="128"/>
      <c r="G35" s="129" t="s">
        <v>61</v>
      </c>
    </row>
    <row r="36" spans="6:7" ht="12.75">
      <c r="F36" s="128"/>
      <c r="G36" s="130"/>
    </row>
    <row r="43" spans="3:6" ht="16.5">
      <c r="C43" s="1" t="s">
        <v>92</v>
      </c>
      <c r="D43" s="270" t="s">
        <v>270</v>
      </c>
      <c r="E43" s="21"/>
      <c r="F43" s="21"/>
    </row>
    <row r="44" spans="4:5" ht="14.25">
      <c r="D44" s="76" t="s">
        <v>93</v>
      </c>
      <c r="E44" s="47"/>
    </row>
    <row r="46" ht="12.75">
      <c r="A46" s="91" t="s">
        <v>259</v>
      </c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3"/>
  <sheetViews>
    <sheetView showGridLines="0" showZeros="0" workbookViewId="0" topLeftCell="A2">
      <pane xSplit="2" ySplit="4" topLeftCell="C30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K45" sqref="K45"/>
    </sheetView>
  </sheetViews>
  <sheetFormatPr defaultColWidth="9.33203125" defaultRowHeight="15.75" customHeight="1"/>
  <cols>
    <col min="1" max="1" width="2.83203125" style="1" customWidth="1"/>
    <col min="2" max="2" width="10.83203125" style="58" customWidth="1"/>
    <col min="3" max="3" width="10.83203125" style="39" customWidth="1"/>
    <col min="4" max="4" width="8.83203125" style="39" customWidth="1"/>
    <col min="5" max="6" width="10.66015625" style="39" customWidth="1"/>
    <col min="7" max="8" width="10.83203125" style="39" customWidth="1"/>
    <col min="9" max="9" width="10.5" style="39" customWidth="1"/>
    <col min="10" max="11" width="10.83203125" style="39" customWidth="1"/>
    <col min="12" max="16384" width="12" style="1" customWidth="1"/>
  </cols>
  <sheetData>
    <row r="1" spans="2:11" ht="15.75" customHeight="1">
      <c r="B1" s="77" t="s">
        <v>94</v>
      </c>
      <c r="C1" s="89"/>
      <c r="D1" s="77"/>
      <c r="E1" s="77"/>
      <c r="F1" s="77"/>
      <c r="G1" s="77"/>
      <c r="H1" s="2"/>
      <c r="I1" s="2"/>
      <c r="J1" s="2"/>
      <c r="K1" s="2"/>
    </row>
    <row r="2" spans="2:8" ht="15.75" customHeight="1">
      <c r="B2" s="58" t="s">
        <v>95</v>
      </c>
      <c r="H2" s="39" t="s">
        <v>8</v>
      </c>
    </row>
    <row r="3" spans="3:11" ht="15.75" customHeight="1">
      <c r="C3" s="72"/>
      <c r="D3" s="72"/>
      <c r="E3" s="73" t="s">
        <v>96</v>
      </c>
      <c r="F3" s="73"/>
      <c r="G3" s="72"/>
      <c r="H3" s="72" t="s">
        <v>8</v>
      </c>
      <c r="I3" s="72"/>
      <c r="J3" s="72" t="s">
        <v>97</v>
      </c>
      <c r="K3" s="72"/>
    </row>
    <row r="4" spans="2:11" ht="15.75" customHeight="1">
      <c r="B4" s="80" t="s">
        <v>98</v>
      </c>
      <c r="C4" s="85" t="s">
        <v>98</v>
      </c>
      <c r="D4" s="83" t="s">
        <v>99</v>
      </c>
      <c r="E4" s="71" t="s">
        <v>100</v>
      </c>
      <c r="F4" s="70"/>
      <c r="G4" s="70"/>
      <c r="H4" s="79"/>
      <c r="I4" s="87"/>
      <c r="J4" s="88" t="s">
        <v>42</v>
      </c>
      <c r="K4" s="74"/>
    </row>
    <row r="5" spans="2:15" ht="15.75" customHeight="1">
      <c r="B5" s="81" t="s">
        <v>101</v>
      </c>
      <c r="C5" s="86" t="s">
        <v>102</v>
      </c>
      <c r="D5" s="84" t="s">
        <v>103</v>
      </c>
      <c r="E5" s="82" t="s">
        <v>104</v>
      </c>
      <c r="F5" s="83" t="s">
        <v>80</v>
      </c>
      <c r="G5" s="84" t="s">
        <v>105</v>
      </c>
      <c r="H5" s="80" t="s">
        <v>106</v>
      </c>
      <c r="I5" s="83" t="s">
        <v>107</v>
      </c>
      <c r="J5" s="80" t="s">
        <v>105</v>
      </c>
      <c r="K5" s="80" t="s">
        <v>106</v>
      </c>
      <c r="L5" s="39"/>
      <c r="M5" s="39"/>
      <c r="N5" s="39"/>
      <c r="O5" s="39"/>
    </row>
    <row r="6" spans="2:15" ht="15.75" customHeight="1">
      <c r="B6" s="80">
        <v>1</v>
      </c>
      <c r="C6" s="49" t="s">
        <v>8</v>
      </c>
      <c r="D6" s="49">
        <v>0</v>
      </c>
      <c r="E6" s="271" t="s">
        <v>290</v>
      </c>
      <c r="F6" s="49"/>
      <c r="G6" s="49"/>
      <c r="H6" s="42">
        <v>0.12</v>
      </c>
      <c r="I6" s="49" t="s">
        <v>279</v>
      </c>
      <c r="J6" s="49"/>
      <c r="K6" s="42">
        <v>85.8</v>
      </c>
      <c r="L6" s="39"/>
      <c r="M6" s="39"/>
      <c r="N6" s="39"/>
      <c r="O6" s="39"/>
    </row>
    <row r="7" spans="2:15" ht="15.75" customHeight="1">
      <c r="B7" s="80">
        <v>2</v>
      </c>
      <c r="C7" s="49" t="s">
        <v>8</v>
      </c>
      <c r="D7" s="49">
        <v>0</v>
      </c>
      <c r="E7" s="271" t="s">
        <v>291</v>
      </c>
      <c r="F7" s="49"/>
      <c r="G7" s="49"/>
      <c r="H7" s="42">
        <v>22</v>
      </c>
      <c r="I7" s="49" t="s">
        <v>279</v>
      </c>
      <c r="J7" s="49"/>
      <c r="K7" s="42">
        <v>49.3</v>
      </c>
      <c r="L7" s="39"/>
      <c r="M7" s="39"/>
      <c r="N7" s="39"/>
      <c r="O7" s="39"/>
    </row>
    <row r="8" spans="2:12" ht="15.75" customHeight="1">
      <c r="B8" s="80" t="s">
        <v>281</v>
      </c>
      <c r="C8" s="51" t="s">
        <v>8</v>
      </c>
      <c r="D8" s="49">
        <v>0</v>
      </c>
      <c r="E8" s="271" t="s">
        <v>292</v>
      </c>
      <c r="F8" s="49"/>
      <c r="G8" s="49"/>
      <c r="H8" s="42">
        <v>1.6</v>
      </c>
      <c r="I8" s="49">
        <v>0.06</v>
      </c>
      <c r="J8" s="49"/>
      <c r="K8" s="42">
        <v>1</v>
      </c>
      <c r="L8" s="39"/>
    </row>
    <row r="9" spans="2:12" ht="15.75" customHeight="1">
      <c r="B9" s="80" t="s">
        <v>282</v>
      </c>
      <c r="C9" s="49" t="s">
        <v>8</v>
      </c>
      <c r="D9" s="49">
        <v>0</v>
      </c>
      <c r="E9" s="271" t="s">
        <v>293</v>
      </c>
      <c r="F9" s="49"/>
      <c r="G9" s="49"/>
      <c r="H9" s="42">
        <v>1.78</v>
      </c>
      <c r="I9" s="49">
        <v>0.07</v>
      </c>
      <c r="J9" s="49"/>
      <c r="K9" s="42">
        <v>1.2</v>
      </c>
      <c r="L9" s="39"/>
    </row>
    <row r="10" spans="2:12" ht="15.75" customHeight="1">
      <c r="B10" s="80" t="s">
        <v>283</v>
      </c>
      <c r="C10" s="49" t="s">
        <v>8</v>
      </c>
      <c r="D10" s="49">
        <v>0</v>
      </c>
      <c r="E10" s="271" t="s">
        <v>292</v>
      </c>
      <c r="F10" s="49"/>
      <c r="G10" s="271"/>
      <c r="H10" s="42">
        <v>0.69</v>
      </c>
      <c r="I10" s="49">
        <v>0</v>
      </c>
      <c r="J10" s="49"/>
      <c r="K10" s="42">
        <f>F10*J10</f>
        <v>0</v>
      </c>
      <c r="L10" s="39"/>
    </row>
    <row r="11" spans="2:12" ht="15.75" customHeight="1">
      <c r="B11" s="80" t="s">
        <v>284</v>
      </c>
      <c r="C11" s="49" t="s">
        <v>8</v>
      </c>
      <c r="D11" s="49">
        <v>0</v>
      </c>
      <c r="E11" s="271" t="s">
        <v>294</v>
      </c>
      <c r="F11" s="49"/>
      <c r="G11" s="49"/>
      <c r="H11" s="42">
        <v>0.89</v>
      </c>
      <c r="I11" s="49">
        <v>0.01</v>
      </c>
      <c r="J11" s="49"/>
      <c r="K11" s="42">
        <v>0.9</v>
      </c>
      <c r="L11" s="39"/>
    </row>
    <row r="12" spans="2:12" ht="15.75" customHeight="1">
      <c r="B12" s="80" t="s">
        <v>285</v>
      </c>
      <c r="C12" s="51" t="s">
        <v>108</v>
      </c>
      <c r="D12" s="49">
        <v>0</v>
      </c>
      <c r="E12" s="271" t="s">
        <v>294</v>
      </c>
      <c r="F12" s="49"/>
      <c r="G12" s="49"/>
      <c r="H12" s="42">
        <v>0.3</v>
      </c>
      <c r="I12" s="49">
        <v>0</v>
      </c>
      <c r="J12" s="49"/>
      <c r="K12" s="42">
        <v>0</v>
      </c>
      <c r="L12" s="39"/>
    </row>
    <row r="13" spans="2:12" ht="15.75" customHeight="1">
      <c r="B13" s="272" t="s">
        <v>286</v>
      </c>
      <c r="C13" s="51" t="s">
        <v>8</v>
      </c>
      <c r="D13" s="49">
        <v>0</v>
      </c>
      <c r="E13" s="271" t="s">
        <v>295</v>
      </c>
      <c r="F13" s="49"/>
      <c r="G13" s="271"/>
      <c r="H13" s="42">
        <v>1.79</v>
      </c>
      <c r="I13" s="49">
        <v>0.16</v>
      </c>
      <c r="J13" s="49"/>
      <c r="K13" s="42">
        <v>4.7</v>
      </c>
      <c r="L13" s="39"/>
    </row>
    <row r="14" spans="2:12" ht="15.75" customHeight="1">
      <c r="B14" s="80" t="s">
        <v>275</v>
      </c>
      <c r="C14" s="49" t="s">
        <v>8</v>
      </c>
      <c r="D14" s="49">
        <v>0</v>
      </c>
      <c r="E14" s="271" t="s">
        <v>296</v>
      </c>
      <c r="F14" s="49"/>
      <c r="G14" s="49"/>
      <c r="H14" s="42">
        <v>7.1</v>
      </c>
      <c r="I14" s="49" t="s">
        <v>279</v>
      </c>
      <c r="J14" s="49">
        <v>0</v>
      </c>
      <c r="K14" s="42">
        <v>151.2</v>
      </c>
      <c r="L14" s="39"/>
    </row>
    <row r="15" spans="2:12" ht="15.75" customHeight="1">
      <c r="B15" s="80" t="s">
        <v>287</v>
      </c>
      <c r="C15" s="49" t="s">
        <v>8</v>
      </c>
      <c r="D15" s="49">
        <v>0</v>
      </c>
      <c r="E15" s="271" t="s">
        <v>290</v>
      </c>
      <c r="F15" s="49"/>
      <c r="G15" s="49"/>
      <c r="H15" s="42">
        <v>0</v>
      </c>
      <c r="I15" s="49" t="s">
        <v>279</v>
      </c>
      <c r="J15" s="49">
        <v>0</v>
      </c>
      <c r="K15" s="42">
        <v>151.2</v>
      </c>
      <c r="L15" s="39"/>
    </row>
    <row r="16" spans="2:12" ht="15.75" customHeight="1">
      <c r="B16" s="80" t="s">
        <v>288</v>
      </c>
      <c r="C16" s="49" t="s">
        <v>8</v>
      </c>
      <c r="D16" s="49">
        <v>0</v>
      </c>
      <c r="E16" s="271" t="s">
        <v>297</v>
      </c>
      <c r="F16" s="49"/>
      <c r="G16" s="49"/>
      <c r="H16" s="42">
        <v>2.09</v>
      </c>
      <c r="I16" s="49">
        <v>0.21</v>
      </c>
      <c r="J16" s="49">
        <v>0</v>
      </c>
      <c r="K16" s="42">
        <v>2.9</v>
      </c>
      <c r="L16" s="39"/>
    </row>
    <row r="17" spans="2:12" ht="15.75" customHeight="1">
      <c r="B17" s="80" t="s">
        <v>278</v>
      </c>
      <c r="C17" s="49"/>
      <c r="D17" s="49">
        <v>0</v>
      </c>
      <c r="E17" s="271" t="s">
        <v>298</v>
      </c>
      <c r="F17" s="49"/>
      <c r="G17" s="271"/>
      <c r="H17" s="42">
        <v>1.64</v>
      </c>
      <c r="I17" s="49">
        <v>3.15</v>
      </c>
      <c r="J17" s="49">
        <v>0</v>
      </c>
      <c r="K17" s="42">
        <v>20.1</v>
      </c>
      <c r="L17" s="39"/>
    </row>
    <row r="18" spans="2:11" ht="15.75" customHeight="1">
      <c r="B18" s="80" t="s">
        <v>276</v>
      </c>
      <c r="C18" s="49" t="s">
        <v>8</v>
      </c>
      <c r="D18" s="49">
        <v>0</v>
      </c>
      <c r="E18" s="49" t="s">
        <v>290</v>
      </c>
      <c r="F18" s="49"/>
      <c r="G18" s="49"/>
      <c r="H18" s="42">
        <f>F18*G18</f>
        <v>0</v>
      </c>
      <c r="I18" s="49"/>
      <c r="J18" s="49">
        <v>0</v>
      </c>
      <c r="K18" s="42">
        <f>F18*J18</f>
        <v>0</v>
      </c>
    </row>
    <row r="19" spans="2:11" ht="15.75" customHeight="1">
      <c r="B19" s="80" t="s">
        <v>277</v>
      </c>
      <c r="C19" s="40"/>
      <c r="D19" s="40">
        <v>0</v>
      </c>
      <c r="E19" s="40" t="s">
        <v>290</v>
      </c>
      <c r="F19" s="40"/>
      <c r="G19" s="40"/>
      <c r="H19" s="42">
        <f>F19*G19</f>
        <v>0</v>
      </c>
      <c r="I19" s="40"/>
      <c r="J19" s="40">
        <v>0</v>
      </c>
      <c r="K19" s="42">
        <f>F19*J19</f>
        <v>0</v>
      </c>
    </row>
    <row r="20" spans="2:11" ht="15.75" customHeight="1">
      <c r="B20" s="80"/>
      <c r="C20" s="40"/>
      <c r="D20" s="40"/>
      <c r="E20" s="40"/>
      <c r="F20" s="40"/>
      <c r="G20" s="40"/>
      <c r="H20" s="42"/>
      <c r="I20" s="40"/>
      <c r="J20" s="40"/>
      <c r="K20" s="40"/>
    </row>
    <row r="21" spans="2:11" ht="15.75" customHeight="1">
      <c r="B21" s="80"/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2">
        <f aca="true" t="shared" si="0" ref="H21:H32">F21*G21</f>
        <v>0</v>
      </c>
      <c r="I21" s="49">
        <v>0</v>
      </c>
      <c r="J21" s="49">
        <v>0</v>
      </c>
      <c r="K21" s="42">
        <f aca="true" t="shared" si="1" ref="K21:K32">F21*J21</f>
        <v>0</v>
      </c>
    </row>
    <row r="22" spans="2:11" ht="15.75" customHeight="1">
      <c r="B22" s="80"/>
      <c r="C22" s="49">
        <v>0</v>
      </c>
      <c r="D22" s="49">
        <v>0</v>
      </c>
      <c r="E22" s="49" t="s">
        <v>8</v>
      </c>
      <c r="F22" s="49">
        <v>0</v>
      </c>
      <c r="G22" s="49">
        <v>0</v>
      </c>
      <c r="H22" s="42">
        <f t="shared" si="0"/>
        <v>0</v>
      </c>
      <c r="I22" s="49">
        <v>0</v>
      </c>
      <c r="J22" s="49">
        <v>0</v>
      </c>
      <c r="K22" s="42">
        <f t="shared" si="1"/>
        <v>0</v>
      </c>
    </row>
    <row r="23" spans="2:11" ht="15.75" customHeight="1">
      <c r="B23" s="80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2">
        <f t="shared" si="0"/>
        <v>0</v>
      </c>
      <c r="I23" s="49">
        <v>0</v>
      </c>
      <c r="J23" s="63">
        <v>0</v>
      </c>
      <c r="K23" s="42">
        <f t="shared" si="1"/>
        <v>0</v>
      </c>
    </row>
    <row r="24" spans="2:11" ht="15.75" customHeight="1">
      <c r="B24" s="80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2">
        <f t="shared" si="0"/>
        <v>0</v>
      </c>
      <c r="I24" s="49">
        <v>0</v>
      </c>
      <c r="J24" s="49">
        <v>0</v>
      </c>
      <c r="K24" s="42">
        <f t="shared" si="1"/>
        <v>0</v>
      </c>
    </row>
    <row r="25" spans="2:11" ht="15.75" customHeight="1">
      <c r="B25" s="80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2">
        <f t="shared" si="0"/>
        <v>0</v>
      </c>
      <c r="I25" s="49">
        <v>0</v>
      </c>
      <c r="J25" s="49">
        <v>0</v>
      </c>
      <c r="K25" s="42">
        <f t="shared" si="1"/>
        <v>0</v>
      </c>
    </row>
    <row r="26" spans="2:11" ht="15.75" customHeight="1">
      <c r="B26" s="80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2">
        <f t="shared" si="0"/>
        <v>0</v>
      </c>
      <c r="I26" s="49">
        <v>0</v>
      </c>
      <c r="J26" s="49">
        <v>0</v>
      </c>
      <c r="K26" s="42">
        <f t="shared" si="1"/>
        <v>0</v>
      </c>
    </row>
    <row r="27" spans="2:11" ht="15.75" customHeight="1">
      <c r="B27" s="80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2">
        <f t="shared" si="0"/>
        <v>0</v>
      </c>
      <c r="I27" s="49">
        <v>0</v>
      </c>
      <c r="J27" s="49">
        <v>0</v>
      </c>
      <c r="K27" s="42">
        <f t="shared" si="1"/>
        <v>0</v>
      </c>
    </row>
    <row r="28" spans="2:11" ht="15.75" customHeight="1">
      <c r="B28" s="80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2">
        <f t="shared" si="0"/>
        <v>0</v>
      </c>
      <c r="I28" s="49">
        <v>0</v>
      </c>
      <c r="J28" s="49">
        <v>0</v>
      </c>
      <c r="K28" s="42">
        <f t="shared" si="1"/>
        <v>0</v>
      </c>
    </row>
    <row r="29" spans="2:11" ht="15.75" customHeight="1">
      <c r="B29" s="80"/>
      <c r="C29" s="49">
        <v>0</v>
      </c>
      <c r="D29" s="49">
        <v>0</v>
      </c>
      <c r="E29" s="49">
        <v>0</v>
      </c>
      <c r="F29" s="49"/>
      <c r="G29" s="49">
        <v>0</v>
      </c>
      <c r="H29" s="42">
        <f t="shared" si="0"/>
        <v>0</v>
      </c>
      <c r="I29" s="49">
        <v>0</v>
      </c>
      <c r="J29" s="49">
        <v>0</v>
      </c>
      <c r="K29" s="42">
        <f t="shared" si="1"/>
        <v>0</v>
      </c>
    </row>
    <row r="30" spans="2:11" ht="15.75" customHeight="1">
      <c r="B30" s="80"/>
      <c r="C30" s="49">
        <v>0</v>
      </c>
      <c r="D30" s="49">
        <v>0</v>
      </c>
      <c r="E30" s="49">
        <v>0</v>
      </c>
      <c r="F30" s="49"/>
      <c r="G30" s="49">
        <v>0</v>
      </c>
      <c r="H30" s="42">
        <f t="shared" si="0"/>
        <v>0</v>
      </c>
      <c r="I30" s="49">
        <v>0</v>
      </c>
      <c r="J30" s="49">
        <v>0</v>
      </c>
      <c r="K30" s="42">
        <f t="shared" si="1"/>
        <v>0</v>
      </c>
    </row>
    <row r="31" spans="2:11" ht="15.75" customHeight="1">
      <c r="B31" s="80"/>
      <c r="C31" s="49">
        <v>0</v>
      </c>
      <c r="D31" s="49">
        <v>0</v>
      </c>
      <c r="E31" s="49"/>
      <c r="F31" s="49"/>
      <c r="G31" s="49">
        <v>0</v>
      </c>
      <c r="H31" s="42">
        <f t="shared" si="0"/>
        <v>0</v>
      </c>
      <c r="I31" s="49"/>
      <c r="J31" s="49">
        <v>0</v>
      </c>
      <c r="K31" s="42">
        <f t="shared" si="1"/>
        <v>0</v>
      </c>
    </row>
    <row r="32" spans="2:11" ht="15.75" customHeight="1">
      <c r="B32" s="80"/>
      <c r="C32" s="49">
        <v>0</v>
      </c>
      <c r="D32" s="49">
        <v>0</v>
      </c>
      <c r="E32" s="49" t="s">
        <v>8</v>
      </c>
      <c r="F32" s="49"/>
      <c r="G32" s="49">
        <v>0</v>
      </c>
      <c r="H32" s="42">
        <f t="shared" si="0"/>
        <v>0</v>
      </c>
      <c r="I32" s="49"/>
      <c r="J32" s="49">
        <v>0</v>
      </c>
      <c r="K32" s="42">
        <f t="shared" si="1"/>
        <v>0</v>
      </c>
    </row>
    <row r="33" spans="2:11" ht="15.75" customHeight="1">
      <c r="B33" s="80" t="s">
        <v>109</v>
      </c>
      <c r="C33" s="40"/>
      <c r="D33" s="40"/>
      <c r="E33" s="40"/>
      <c r="F33" s="40"/>
      <c r="G33" s="40"/>
      <c r="H33" s="42"/>
      <c r="I33" s="40"/>
      <c r="J33" s="40"/>
      <c r="K33" s="42"/>
    </row>
    <row r="34" spans="2:11" ht="15.75" customHeight="1">
      <c r="B34" s="80"/>
      <c r="C34" s="40"/>
      <c r="D34" s="40"/>
      <c r="E34" s="40"/>
      <c r="F34" s="40"/>
      <c r="G34" s="40"/>
      <c r="H34" s="42"/>
      <c r="I34" s="40"/>
      <c r="J34" s="40"/>
      <c r="K34" s="40"/>
    </row>
    <row r="35" spans="2:11" ht="15.75" customHeight="1">
      <c r="B35" s="80" t="s">
        <v>110</v>
      </c>
      <c r="C35" s="49"/>
      <c r="D35" s="49">
        <v>0</v>
      </c>
      <c r="E35" s="49">
        <v>0</v>
      </c>
      <c r="F35" s="49">
        <v>0</v>
      </c>
      <c r="G35" s="49">
        <v>0</v>
      </c>
      <c r="H35" s="42">
        <f>F35*G35</f>
        <v>0</v>
      </c>
      <c r="I35" s="49">
        <v>0</v>
      </c>
      <c r="J35" s="49">
        <v>0</v>
      </c>
      <c r="K35" s="42">
        <f>F35*J35</f>
        <v>0</v>
      </c>
    </row>
    <row r="36" spans="2:11" ht="15.75" customHeight="1">
      <c r="B36" s="96" t="s">
        <v>111</v>
      </c>
      <c r="C36" s="49"/>
      <c r="D36" s="49">
        <v>0</v>
      </c>
      <c r="E36" s="49">
        <v>0</v>
      </c>
      <c r="F36" s="49"/>
      <c r="G36" s="49">
        <v>0</v>
      </c>
      <c r="H36" s="42">
        <f>F36*G36</f>
        <v>0</v>
      </c>
      <c r="I36" s="49"/>
      <c r="J36" s="49"/>
      <c r="K36" s="42">
        <f>F36*J36</f>
        <v>0</v>
      </c>
    </row>
    <row r="37" spans="2:11" ht="15.75" customHeight="1">
      <c r="B37" s="96" t="s">
        <v>111</v>
      </c>
      <c r="C37" s="49"/>
      <c r="D37" s="49"/>
      <c r="E37" s="49"/>
      <c r="F37" s="49"/>
      <c r="G37" s="49"/>
      <c r="H37" s="42">
        <f>F37*G37</f>
        <v>0</v>
      </c>
      <c r="I37" s="49"/>
      <c r="J37" s="49"/>
      <c r="K37" s="42">
        <f>F37*J37</f>
        <v>0</v>
      </c>
    </row>
    <row r="38" spans="2:11" ht="15.75" customHeight="1">
      <c r="B38" s="80"/>
      <c r="C38" s="40"/>
      <c r="D38" s="40"/>
      <c r="E38" s="40"/>
      <c r="F38" s="40"/>
      <c r="G38" s="40"/>
      <c r="H38" s="42">
        <f>D38*G38</f>
        <v>0</v>
      </c>
      <c r="I38" s="40"/>
      <c r="J38" s="40"/>
      <c r="K38" s="40"/>
    </row>
    <row r="39" spans="2:11" ht="15.75" customHeight="1">
      <c r="B39" s="80" t="s">
        <v>112</v>
      </c>
      <c r="C39" s="40"/>
      <c r="D39" s="40"/>
      <c r="E39" s="40"/>
      <c r="F39" s="40"/>
      <c r="G39" s="42">
        <f>SUM(G6:G36)</f>
        <v>0</v>
      </c>
      <c r="H39" s="42" t="s">
        <v>8</v>
      </c>
      <c r="I39" s="40"/>
      <c r="J39" s="42">
        <f>SUM(J6:J36)</f>
        <v>0</v>
      </c>
      <c r="K39" s="40">
        <f>SUM(K6+K19+K33+K35+K36)</f>
        <v>85.8</v>
      </c>
    </row>
    <row r="40" spans="2:11" ht="15.75" customHeight="1">
      <c r="B40" s="80" t="s">
        <v>80</v>
      </c>
      <c r="C40" s="40"/>
      <c r="D40" s="40"/>
      <c r="E40" s="40"/>
      <c r="F40" s="40"/>
      <c r="G40" s="49">
        <v>0</v>
      </c>
      <c r="H40" s="42"/>
      <c r="I40" s="40"/>
      <c r="J40" s="49">
        <v>0</v>
      </c>
      <c r="K40" s="40"/>
    </row>
    <row r="41" spans="2:11" ht="15.75" customHeight="1">
      <c r="B41" s="80" t="s">
        <v>113</v>
      </c>
      <c r="C41" s="40"/>
      <c r="D41" s="40"/>
      <c r="E41" s="40"/>
      <c r="F41" s="40"/>
      <c r="G41" s="42">
        <f>G39*G40</f>
        <v>0</v>
      </c>
      <c r="H41" s="42">
        <f>SUM(H6:H38)</f>
        <v>40</v>
      </c>
      <c r="I41" s="40"/>
      <c r="J41" s="42">
        <f>J39*J40</f>
        <v>0</v>
      </c>
      <c r="K41" s="42">
        <f>SUM(K6:K38)</f>
        <v>468.29999999999995</v>
      </c>
    </row>
    <row r="42" spans="2:11" ht="15.75" customHeight="1">
      <c r="B42" s="97" t="s">
        <v>260</v>
      </c>
      <c r="C42" s="48"/>
      <c r="D42" s="48"/>
      <c r="E42" s="48"/>
      <c r="F42" s="48"/>
      <c r="G42" s="48" t="s">
        <v>8</v>
      </c>
      <c r="H42" s="48"/>
      <c r="I42" s="48"/>
      <c r="J42" s="48"/>
      <c r="K42" s="48"/>
    </row>
    <row r="43" spans="2:7" ht="15.75" customHeight="1">
      <c r="B43" s="45"/>
      <c r="C43" s="68"/>
      <c r="G43" s="39" t="s">
        <v>8</v>
      </c>
    </row>
  </sheetData>
  <printOptions/>
  <pageMargins left="0.196850393700787" right="0.196850393700787" top="0.984251968503937" bottom="0.196850393700787" header="0.511811023622047" footer="0.511811023622047"/>
  <pageSetup horizontalDpi="120" verticalDpi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4">
      <selection activeCell="K43" sqref="K43"/>
    </sheetView>
  </sheetViews>
  <sheetFormatPr defaultColWidth="9.33203125" defaultRowHeight="12.75"/>
  <cols>
    <col min="1" max="1" width="16.83203125" style="39" customWidth="1"/>
    <col min="2" max="2" width="15.33203125" style="39" customWidth="1"/>
    <col min="3" max="3" width="13.83203125" style="39" customWidth="1"/>
    <col min="4" max="5" width="12" style="1" customWidth="1"/>
    <col min="6" max="6" width="12" style="39" customWidth="1"/>
    <col min="7" max="16384" width="12" style="1" customWidth="1"/>
  </cols>
  <sheetData>
    <row r="1" spans="1:8" ht="12.75">
      <c r="A1" s="111"/>
      <c r="B1" s="10"/>
      <c r="C1" s="10"/>
      <c r="D1" s="8"/>
      <c r="E1" s="8"/>
      <c r="F1" s="10"/>
      <c r="G1" s="8"/>
      <c r="H1" s="13"/>
    </row>
    <row r="2" spans="1:8" ht="12.75">
      <c r="A2" s="112"/>
      <c r="B2" s="48"/>
      <c r="C2" s="48"/>
      <c r="D2" s="18"/>
      <c r="E2" s="18"/>
      <c r="F2" s="48"/>
      <c r="G2" s="18"/>
      <c r="H2" s="19"/>
    </row>
    <row r="3" spans="1:8" ht="14.25">
      <c r="A3" s="113"/>
      <c r="B3" s="114"/>
      <c r="C3" s="115"/>
      <c r="D3" s="115" t="s">
        <v>114</v>
      </c>
      <c r="E3" s="114"/>
      <c r="F3" s="4"/>
      <c r="G3" s="18"/>
      <c r="H3" s="19"/>
    </row>
    <row r="4" spans="1:8" ht="12.75">
      <c r="A4" s="112"/>
      <c r="B4" s="48"/>
      <c r="C4" s="48"/>
      <c r="D4" s="18"/>
      <c r="E4" s="18"/>
      <c r="F4" s="48"/>
      <c r="G4" s="18"/>
      <c r="H4" s="19"/>
    </row>
    <row r="5" spans="1:8" ht="12.75">
      <c r="A5" s="40"/>
      <c r="B5" s="40" t="s">
        <v>115</v>
      </c>
      <c r="C5" s="40" t="s">
        <v>115</v>
      </c>
      <c r="D5" s="40" t="s">
        <v>116</v>
      </c>
      <c r="E5" s="40" t="s">
        <v>116</v>
      </c>
      <c r="F5" s="40" t="s">
        <v>116</v>
      </c>
      <c r="G5" s="40" t="s">
        <v>116</v>
      </c>
      <c r="H5" s="40" t="s">
        <v>116</v>
      </c>
    </row>
    <row r="6" spans="1:8" ht="12.75">
      <c r="A6" s="40" t="s">
        <v>117</v>
      </c>
      <c r="B6" s="40" t="s">
        <v>118</v>
      </c>
      <c r="C6" s="54" t="s">
        <v>119</v>
      </c>
      <c r="D6" s="40" t="s">
        <v>120</v>
      </c>
      <c r="E6" s="95" t="s">
        <v>121</v>
      </c>
      <c r="F6" s="95" t="s">
        <v>122</v>
      </c>
      <c r="G6" s="95" t="s">
        <v>123</v>
      </c>
      <c r="H6" s="95" t="s">
        <v>124</v>
      </c>
    </row>
    <row r="7" spans="1:8" ht="12.75">
      <c r="A7" s="40">
        <v>1</v>
      </c>
      <c r="B7" s="49"/>
      <c r="C7" s="54" t="e">
        <f>A21*B7</f>
        <v>#DIV/0!</v>
      </c>
      <c r="D7" s="54"/>
      <c r="E7" s="49"/>
      <c r="F7" s="49"/>
      <c r="G7" s="49"/>
      <c r="H7" s="49"/>
    </row>
    <row r="8" spans="1:8" ht="12.75">
      <c r="A8" s="40">
        <v>2</v>
      </c>
      <c r="B8" s="49"/>
      <c r="C8" s="54" t="e">
        <f>A21*B8</f>
        <v>#DIV/0!</v>
      </c>
      <c r="D8" s="54"/>
      <c r="E8" s="49" t="s">
        <v>8</v>
      </c>
      <c r="F8" s="49" t="s">
        <v>8</v>
      </c>
      <c r="G8" s="49" t="s">
        <v>8</v>
      </c>
      <c r="H8" s="49" t="s">
        <v>8</v>
      </c>
    </row>
    <row r="9" spans="1:8" ht="12.75">
      <c r="A9" s="40">
        <v>3</v>
      </c>
      <c r="B9" s="49"/>
      <c r="C9" s="54" t="e">
        <f>A21*B9</f>
        <v>#DIV/0!</v>
      </c>
      <c r="D9" s="54"/>
      <c r="E9" s="49"/>
      <c r="F9" s="49"/>
      <c r="G9" s="49"/>
      <c r="H9" s="49"/>
    </row>
    <row r="10" spans="1:8" ht="12.75">
      <c r="A10" s="40">
        <v>4</v>
      </c>
      <c r="B10" s="49"/>
      <c r="C10" s="54" t="e">
        <f>A21*B10</f>
        <v>#DIV/0!</v>
      </c>
      <c r="D10" s="54"/>
      <c r="E10" s="49"/>
      <c r="F10" s="49"/>
      <c r="G10" s="49"/>
      <c r="H10" s="49"/>
    </row>
    <row r="11" spans="1:8" ht="12.75">
      <c r="A11" s="40">
        <v>5</v>
      </c>
      <c r="B11" s="49"/>
      <c r="C11" s="54" t="e">
        <f>A21*B11</f>
        <v>#DIV/0!</v>
      </c>
      <c r="D11" s="54"/>
      <c r="E11" s="49"/>
      <c r="F11" s="49"/>
      <c r="G11" s="49"/>
      <c r="H11" s="49"/>
    </row>
    <row r="12" spans="1:8" ht="12.75">
      <c r="A12" s="40">
        <v>6</v>
      </c>
      <c r="B12" s="49"/>
      <c r="C12" s="54" t="e">
        <f>A21*B12</f>
        <v>#DIV/0!</v>
      </c>
      <c r="D12" s="54"/>
      <c r="E12" s="49" t="s">
        <v>8</v>
      </c>
      <c r="F12" s="49" t="s">
        <v>8</v>
      </c>
      <c r="G12" s="49" t="s">
        <v>8</v>
      </c>
      <c r="H12" s="49" t="s">
        <v>8</v>
      </c>
    </row>
    <row r="13" spans="1:8" ht="12.75">
      <c r="A13" s="40">
        <v>7</v>
      </c>
      <c r="B13" s="49"/>
      <c r="C13" s="54" t="e">
        <f>A21*B13</f>
        <v>#DIV/0!</v>
      </c>
      <c r="D13" s="54"/>
      <c r="E13" s="49"/>
      <c r="F13" s="49"/>
      <c r="G13" s="49"/>
      <c r="H13" s="49"/>
    </row>
    <row r="14" spans="1:8" ht="12.75">
      <c r="A14" s="40">
        <v>8</v>
      </c>
      <c r="B14" s="49"/>
      <c r="C14" s="54" t="e">
        <f>A21*B14</f>
        <v>#DIV/0!</v>
      </c>
      <c r="D14" s="54"/>
      <c r="E14" s="49"/>
      <c r="F14" s="49"/>
      <c r="G14" s="49"/>
      <c r="H14" s="49"/>
    </row>
    <row r="15" spans="1:8" ht="12.75">
      <c r="A15" s="40">
        <v>9</v>
      </c>
      <c r="B15" s="49"/>
      <c r="C15" s="54" t="e">
        <f>A21*B15</f>
        <v>#DIV/0!</v>
      </c>
      <c r="D15" s="54"/>
      <c r="E15" s="49"/>
      <c r="F15" s="49"/>
      <c r="G15" s="49"/>
      <c r="H15" s="49"/>
    </row>
    <row r="16" spans="1:8" ht="12.75">
      <c r="A16" s="40" t="s">
        <v>109</v>
      </c>
      <c r="B16" s="40">
        <f>SUM(B7:B15)</f>
        <v>0</v>
      </c>
      <c r="C16" s="54" t="e">
        <f aca="true" t="shared" si="0" ref="C16:H16">SUM(C7:C15)</f>
        <v>#DIV/0!</v>
      </c>
      <c r="D16" s="54">
        <f t="shared" si="0"/>
        <v>0</v>
      </c>
      <c r="E16" s="54">
        <f t="shared" si="0"/>
        <v>0</v>
      </c>
      <c r="F16" s="54">
        <f t="shared" si="0"/>
        <v>0</v>
      </c>
      <c r="G16" s="54">
        <f t="shared" si="0"/>
        <v>0</v>
      </c>
      <c r="H16" s="54">
        <f t="shared" si="0"/>
        <v>0</v>
      </c>
    </row>
    <row r="17" spans="1:8" ht="12.75">
      <c r="A17" s="112" t="s">
        <v>8</v>
      </c>
      <c r="B17" s="48"/>
      <c r="C17" s="48" t="s">
        <v>8</v>
      </c>
      <c r="D17" s="18"/>
      <c r="E17" s="18"/>
      <c r="F17" s="48"/>
      <c r="G17" s="18"/>
      <c r="H17" s="19"/>
    </row>
    <row r="18" spans="1:8" ht="12.75">
      <c r="A18" s="40" t="s">
        <v>115</v>
      </c>
      <c r="B18" s="40" t="s">
        <v>115</v>
      </c>
      <c r="C18" s="48"/>
      <c r="D18" s="18"/>
      <c r="E18" s="18"/>
      <c r="F18" s="48"/>
      <c r="G18" s="18"/>
      <c r="H18" s="19"/>
    </row>
    <row r="19" spans="1:8" ht="12.75">
      <c r="A19" s="40" t="s">
        <v>125</v>
      </c>
      <c r="B19" s="95" t="s">
        <v>118</v>
      </c>
      <c r="C19" s="48"/>
      <c r="D19" s="18"/>
      <c r="E19" s="18"/>
      <c r="F19" s="48"/>
      <c r="G19" s="18"/>
      <c r="H19" s="19"/>
    </row>
    <row r="20" spans="1:8" ht="12.75">
      <c r="A20" s="49"/>
      <c r="B20" s="49"/>
      <c r="C20" s="48"/>
      <c r="D20" s="18"/>
      <c r="E20" s="18"/>
      <c r="F20" s="48"/>
      <c r="G20" s="18"/>
      <c r="H20" s="19"/>
    </row>
    <row r="21" spans="1:8" ht="12.75">
      <c r="A21" s="116" t="e">
        <f>A20/B20</f>
        <v>#DIV/0!</v>
      </c>
      <c r="B21" s="117"/>
      <c r="C21" s="48"/>
      <c r="D21" s="18"/>
      <c r="E21" s="18"/>
      <c r="F21" s="48"/>
      <c r="G21" s="18"/>
      <c r="H21" s="19"/>
    </row>
    <row r="22" spans="1:8" ht="12.75">
      <c r="A22" s="112"/>
      <c r="B22" s="48"/>
      <c r="C22" s="48"/>
      <c r="D22" s="18"/>
      <c r="E22" s="18"/>
      <c r="F22" s="48"/>
      <c r="G22" s="18"/>
      <c r="H22" s="19"/>
    </row>
    <row r="23" spans="1:8" ht="12.75">
      <c r="A23" s="112"/>
      <c r="B23" s="48"/>
      <c r="C23" s="48"/>
      <c r="D23" s="18"/>
      <c r="E23" s="18"/>
      <c r="F23" s="48"/>
      <c r="G23" s="18"/>
      <c r="H23" s="19"/>
    </row>
    <row r="24" spans="1:8" ht="12.75">
      <c r="A24" s="112"/>
      <c r="B24" s="48"/>
      <c r="C24" s="48"/>
      <c r="D24" s="18"/>
      <c r="E24" s="18"/>
      <c r="F24" s="48"/>
      <c r="G24" s="18"/>
      <c r="H24" s="19"/>
    </row>
    <row r="25" spans="1:8" ht="12.75">
      <c r="A25" s="112"/>
      <c r="B25" s="48"/>
      <c r="C25" s="48"/>
      <c r="D25" s="18"/>
      <c r="E25" s="18"/>
      <c r="F25" s="48"/>
      <c r="G25" s="18"/>
      <c r="H25" s="19"/>
    </row>
    <row r="26" spans="1:8" ht="12.75">
      <c r="A26" s="112"/>
      <c r="B26" s="48"/>
      <c r="C26" s="48"/>
      <c r="D26" s="18"/>
      <c r="E26" s="18"/>
      <c r="F26" s="48"/>
      <c r="G26" s="18"/>
      <c r="H26" s="19"/>
    </row>
    <row r="27" spans="1:8" ht="12.75">
      <c r="A27" s="112"/>
      <c r="B27" s="48"/>
      <c r="C27" s="48"/>
      <c r="D27" s="18"/>
      <c r="E27" s="18"/>
      <c r="F27" s="48"/>
      <c r="G27" s="18"/>
      <c r="H27" s="19"/>
    </row>
    <row r="28" spans="1:8" ht="12.75">
      <c r="A28" s="112"/>
      <c r="B28" s="48"/>
      <c r="C28" s="48"/>
      <c r="D28" s="18"/>
      <c r="E28" s="18"/>
      <c r="F28" s="48"/>
      <c r="G28" s="18"/>
      <c r="H28" s="19"/>
    </row>
    <row r="29" spans="1:8" ht="12.75">
      <c r="A29" s="112"/>
      <c r="B29" s="48"/>
      <c r="C29" s="48"/>
      <c r="D29" s="18"/>
      <c r="E29" s="18"/>
      <c r="F29" s="48"/>
      <c r="G29" s="18"/>
      <c r="H29" s="19"/>
    </row>
    <row r="30" spans="1:8" ht="12.75">
      <c r="A30" s="112"/>
      <c r="B30" s="48"/>
      <c r="C30" s="48"/>
      <c r="D30" s="18"/>
      <c r="E30" s="18"/>
      <c r="F30" s="48"/>
      <c r="G30" s="18"/>
      <c r="H30" s="19"/>
    </row>
    <row r="31" spans="1:8" ht="12.75">
      <c r="A31" s="112"/>
      <c r="B31" s="48"/>
      <c r="C31" s="48"/>
      <c r="D31" s="18"/>
      <c r="E31" s="18"/>
      <c r="F31" s="48"/>
      <c r="G31" s="18"/>
      <c r="H31" s="19"/>
    </row>
    <row r="32" spans="1:8" ht="12.75">
      <c r="A32" s="112"/>
      <c r="B32" s="48"/>
      <c r="C32" s="48"/>
      <c r="D32" s="18"/>
      <c r="E32" s="18"/>
      <c r="F32" s="48"/>
      <c r="G32" s="18"/>
      <c r="H32" s="19"/>
    </row>
    <row r="33" spans="1:8" ht="12.75">
      <c r="A33" s="112"/>
      <c r="B33" s="48"/>
      <c r="C33" s="48"/>
      <c r="D33" s="18"/>
      <c r="E33" s="18"/>
      <c r="F33" s="48"/>
      <c r="G33" s="18"/>
      <c r="H33" s="19"/>
    </row>
    <row r="34" spans="1:8" ht="12.75">
      <c r="A34" s="112"/>
      <c r="B34" s="48"/>
      <c r="C34" s="48"/>
      <c r="D34" s="18"/>
      <c r="E34" s="18"/>
      <c r="F34" s="48"/>
      <c r="G34" s="18"/>
      <c r="H34" s="19"/>
    </row>
    <row r="35" spans="1:8" ht="12.75">
      <c r="A35" s="112"/>
      <c r="B35" s="48"/>
      <c r="C35" s="48"/>
      <c r="D35" s="18"/>
      <c r="E35" s="18"/>
      <c r="F35" s="48"/>
      <c r="G35" s="18"/>
      <c r="H35" s="19"/>
    </row>
    <row r="36" spans="1:8" ht="12.75">
      <c r="A36" s="112"/>
      <c r="B36" s="48"/>
      <c r="C36" s="48"/>
      <c r="D36" s="18"/>
      <c r="E36" s="18"/>
      <c r="F36" s="48"/>
      <c r="G36" s="18"/>
      <c r="H36" s="19"/>
    </row>
    <row r="37" spans="1:8" ht="12.75">
      <c r="A37" s="112"/>
      <c r="B37" s="48"/>
      <c r="C37" s="48"/>
      <c r="D37" s="18"/>
      <c r="E37" s="18"/>
      <c r="F37" s="48"/>
      <c r="G37" s="18"/>
      <c r="H37" s="19"/>
    </row>
    <row r="38" spans="1:8" ht="12.75">
      <c r="A38" s="112"/>
      <c r="B38" s="48"/>
      <c r="C38" s="48"/>
      <c r="D38" s="18"/>
      <c r="E38" s="18"/>
      <c r="F38" s="48"/>
      <c r="G38" s="18"/>
      <c r="H38" s="19"/>
    </row>
    <row r="39" spans="1:8" ht="12.75">
      <c r="A39" s="112"/>
      <c r="B39" s="48"/>
      <c r="C39" s="48"/>
      <c r="D39" s="18"/>
      <c r="E39" s="18"/>
      <c r="F39" s="48"/>
      <c r="G39" s="18"/>
      <c r="H39" s="19"/>
    </row>
    <row r="40" spans="1:8" ht="12.75">
      <c r="A40" s="112"/>
      <c r="B40" s="48"/>
      <c r="C40" s="48"/>
      <c r="D40" s="18"/>
      <c r="E40" s="18"/>
      <c r="F40" s="48"/>
      <c r="G40" s="18"/>
      <c r="H40" s="19"/>
    </row>
    <row r="41" spans="1:8" ht="12.75">
      <c r="A41" s="112"/>
      <c r="B41" s="48"/>
      <c r="C41" s="48"/>
      <c r="D41" s="18"/>
      <c r="E41" s="18"/>
      <c r="F41" s="48"/>
      <c r="G41" s="18"/>
      <c r="H41" s="19"/>
    </row>
    <row r="42" spans="1:8" ht="12.75">
      <c r="A42" s="112"/>
      <c r="B42" s="48"/>
      <c r="C42" s="48"/>
      <c r="D42" s="18"/>
      <c r="E42" s="18"/>
      <c r="F42" s="48"/>
      <c r="G42" s="18"/>
      <c r="H42" s="19"/>
    </row>
    <row r="43" spans="1:8" ht="12.75">
      <c r="A43" s="118" t="s">
        <v>8</v>
      </c>
      <c r="B43" s="48"/>
      <c r="C43" s="48"/>
      <c r="D43" s="18"/>
      <c r="E43" s="18"/>
      <c r="F43" s="48"/>
      <c r="G43" s="18"/>
      <c r="H43" s="19"/>
    </row>
    <row r="44" spans="1:8" ht="12.75">
      <c r="A44" s="112"/>
      <c r="B44" s="119" t="s">
        <v>8</v>
      </c>
      <c r="C44" s="48"/>
      <c r="D44" s="18"/>
      <c r="E44" s="18"/>
      <c r="F44" s="48"/>
      <c r="G44" s="18"/>
      <c r="H44" s="19"/>
    </row>
    <row r="45" spans="1:8" ht="12.75">
      <c r="A45" s="112"/>
      <c r="B45" s="48"/>
      <c r="C45" s="48"/>
      <c r="D45" s="18"/>
      <c r="E45" s="18"/>
      <c r="F45" s="48"/>
      <c r="G45" s="18"/>
      <c r="H45" s="19"/>
    </row>
    <row r="46" spans="1:8" ht="12.75">
      <c r="A46" s="71" t="s">
        <v>8</v>
      </c>
      <c r="B46" s="72"/>
      <c r="C46" s="72"/>
      <c r="D46" s="21"/>
      <c r="E46" s="21"/>
      <c r="F46" s="72"/>
      <c r="G46" s="21"/>
      <c r="H46" s="22"/>
    </row>
    <row r="47" ht="12.75">
      <c r="A47" s="110" t="s">
        <v>126</v>
      </c>
    </row>
    <row r="51" spans="1:3" ht="12.75">
      <c r="A51" s="68"/>
      <c r="B51" s="68" t="s">
        <v>8</v>
      </c>
      <c r="C51" s="68"/>
    </row>
  </sheetData>
  <printOptions/>
  <pageMargins left="0.6299212598425197" right="0.1968503937007874" top="0.984251968503937" bottom="0.984251968503937" header="0.5118110236220472" footer="0.5118110236220472"/>
  <pageSetup horizontalDpi="120" verticalDpi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1"/>
  <sheetViews>
    <sheetView showGridLines="0" workbookViewId="0" topLeftCell="A1">
      <selection activeCell="G17" sqref="G17"/>
    </sheetView>
  </sheetViews>
  <sheetFormatPr defaultColWidth="9.33203125" defaultRowHeight="12.75"/>
  <cols>
    <col min="1" max="2" width="17" style="1" customWidth="1"/>
    <col min="3" max="3" width="9.83203125" style="1" customWidth="1"/>
    <col min="4" max="4" width="19.16015625" style="1" customWidth="1"/>
    <col min="5" max="6" width="12" style="1" customWidth="1"/>
    <col min="7" max="7" width="38.5" style="1" customWidth="1"/>
    <col min="8" max="16384" width="12" style="1" customWidth="1"/>
  </cols>
  <sheetData>
    <row r="1" spans="1:11" ht="18">
      <c r="A1" s="238"/>
      <c r="B1" s="238"/>
      <c r="C1" s="239" t="s">
        <v>127</v>
      </c>
      <c r="D1" s="238"/>
      <c r="E1" s="238"/>
      <c r="F1" s="238"/>
      <c r="G1" s="238"/>
      <c r="H1" s="268"/>
      <c r="I1" s="268"/>
      <c r="J1" s="268"/>
      <c r="K1" s="268"/>
    </row>
    <row r="2" spans="1:11" ht="14.25">
      <c r="A2" s="238" t="s">
        <v>128</v>
      </c>
      <c r="B2" s="238"/>
      <c r="C2" s="240"/>
      <c r="D2" s="238"/>
      <c r="E2" s="238"/>
      <c r="F2" s="238"/>
      <c r="G2" s="238"/>
      <c r="H2" s="268"/>
      <c r="I2" s="268"/>
      <c r="J2" s="268"/>
      <c r="K2" s="268"/>
    </row>
    <row r="3" spans="1:11" ht="12.75">
      <c r="A3" s="238" t="s">
        <v>8</v>
      </c>
      <c r="B3" s="241" t="s">
        <v>129</v>
      </c>
      <c r="C3" s="241" t="s">
        <v>24</v>
      </c>
      <c r="D3" s="242"/>
      <c r="E3" s="243" t="s">
        <v>130</v>
      </c>
      <c r="F3" s="244"/>
      <c r="G3" s="242"/>
      <c r="H3" s="268"/>
      <c r="I3" s="268"/>
      <c r="J3" s="268"/>
      <c r="K3" s="268"/>
    </row>
    <row r="4" spans="1:11" ht="12.75">
      <c r="A4" s="14" t="s">
        <v>131</v>
      </c>
      <c r="B4" s="198">
        <v>1.53</v>
      </c>
      <c r="C4" s="198"/>
      <c r="D4" s="67" t="s">
        <v>6</v>
      </c>
      <c r="E4" s="215" t="s">
        <v>303</v>
      </c>
      <c r="F4" s="216"/>
      <c r="G4" s="217" t="s">
        <v>8</v>
      </c>
      <c r="H4" s="267"/>
      <c r="I4" s="267"/>
      <c r="J4" s="267"/>
      <c r="K4" s="267"/>
    </row>
    <row r="5" spans="1:11" ht="12.75">
      <c r="A5" s="14" t="s">
        <v>132</v>
      </c>
      <c r="B5" s="198">
        <v>1.52</v>
      </c>
      <c r="C5" s="198"/>
      <c r="D5" s="55" t="s">
        <v>133</v>
      </c>
      <c r="E5" s="215" t="s">
        <v>271</v>
      </c>
      <c r="F5" s="216"/>
      <c r="G5" s="217"/>
      <c r="H5" s="267"/>
      <c r="I5" s="267"/>
      <c r="J5" s="267"/>
      <c r="K5" s="267"/>
    </row>
    <row r="6" spans="1:11" ht="12.75">
      <c r="A6" s="120"/>
      <c r="B6" s="200"/>
      <c r="C6" s="200"/>
      <c r="D6" s="52" t="s">
        <v>11</v>
      </c>
      <c r="E6" s="215" t="s">
        <v>280</v>
      </c>
      <c r="F6" s="216"/>
      <c r="G6" s="217"/>
      <c r="H6" s="267"/>
      <c r="I6" s="267"/>
      <c r="J6" s="267"/>
      <c r="K6" s="267"/>
    </row>
    <row r="7" spans="1:11" ht="12.75">
      <c r="A7" s="14" t="s">
        <v>134</v>
      </c>
      <c r="B7" s="198">
        <v>3.54</v>
      </c>
      <c r="C7" s="198"/>
      <c r="D7" s="52" t="s">
        <v>135</v>
      </c>
      <c r="E7" s="218">
        <v>2514</v>
      </c>
      <c r="F7" s="216"/>
      <c r="G7" s="217"/>
      <c r="H7" s="267"/>
      <c r="I7" s="267"/>
      <c r="J7" s="267"/>
      <c r="K7" s="267"/>
    </row>
    <row r="8" spans="1:11" ht="12.75">
      <c r="A8" s="14" t="s">
        <v>136</v>
      </c>
      <c r="B8" s="198">
        <v>3.54</v>
      </c>
      <c r="C8" s="198"/>
      <c r="D8" s="52" t="s">
        <v>137</v>
      </c>
      <c r="E8" s="218">
        <v>1351</v>
      </c>
      <c r="F8" s="216"/>
      <c r="G8" s="217"/>
      <c r="H8" s="267"/>
      <c r="I8" s="267"/>
      <c r="J8" s="267"/>
      <c r="K8" s="267"/>
    </row>
    <row r="9" spans="1:11" ht="12.75">
      <c r="A9" s="120" t="s">
        <v>8</v>
      </c>
      <c r="B9" s="200"/>
      <c r="C9" s="200"/>
      <c r="D9" s="52" t="s">
        <v>138</v>
      </c>
      <c r="E9" s="218">
        <v>3610</v>
      </c>
      <c r="F9" s="216"/>
      <c r="G9" s="217"/>
      <c r="H9" s="267"/>
      <c r="I9" s="267"/>
      <c r="J9" s="267"/>
      <c r="K9" s="267"/>
    </row>
    <row r="10" spans="1:11" ht="12.75">
      <c r="A10" s="14" t="s">
        <v>139</v>
      </c>
      <c r="B10" s="201">
        <v>2.343</v>
      </c>
      <c r="C10" s="201"/>
      <c r="D10" s="52" t="s">
        <v>140</v>
      </c>
      <c r="E10" s="218">
        <v>1319.95</v>
      </c>
      <c r="F10" s="216"/>
      <c r="G10" s="217"/>
      <c r="H10" s="267"/>
      <c r="I10" s="267"/>
      <c r="J10" s="267"/>
      <c r="K10" s="267"/>
    </row>
    <row r="11" spans="1:11" ht="13.5" thickBot="1">
      <c r="A11" s="14" t="s">
        <v>141</v>
      </c>
      <c r="B11" s="199">
        <v>2.543</v>
      </c>
      <c r="C11" s="199"/>
      <c r="D11" s="52" t="s">
        <v>7</v>
      </c>
      <c r="E11" s="215" t="s">
        <v>272</v>
      </c>
      <c r="F11" s="216"/>
      <c r="G11" s="217"/>
      <c r="H11" s="267"/>
      <c r="I11" s="267"/>
      <c r="J11" s="267"/>
      <c r="K11" s="267"/>
    </row>
    <row r="12" spans="1:11" ht="14.25" thickBot="1" thickTop="1">
      <c r="A12" s="132" t="s">
        <v>142</v>
      </c>
      <c r="B12" s="193">
        <v>-0.0014</v>
      </c>
      <c r="C12" s="194" t="s">
        <v>143</v>
      </c>
      <c r="D12" s="52" t="s">
        <v>10</v>
      </c>
      <c r="E12" s="215" t="s">
        <v>273</v>
      </c>
      <c r="F12" s="216"/>
      <c r="G12" s="217"/>
      <c r="H12" s="267"/>
      <c r="I12" s="267"/>
      <c r="J12" s="267"/>
      <c r="K12" s="267"/>
    </row>
    <row r="13" spans="1:11" ht="13.5" thickTop="1">
      <c r="A13" s="14" t="s">
        <v>85</v>
      </c>
      <c r="B13" s="202">
        <v>81</v>
      </c>
      <c r="C13" s="203" t="s">
        <v>144</v>
      </c>
      <c r="D13" s="52" t="s">
        <v>145</v>
      </c>
      <c r="E13" s="215"/>
      <c r="F13" s="216"/>
      <c r="G13" s="217"/>
      <c r="H13" s="267"/>
      <c r="I13" s="267"/>
      <c r="J13" s="267"/>
      <c r="K13" s="267"/>
    </row>
    <row r="14" spans="1:11" ht="12.75">
      <c r="A14" s="41" t="s">
        <v>146</v>
      </c>
      <c r="B14" s="202">
        <v>1.8</v>
      </c>
      <c r="C14" s="202"/>
      <c r="D14" s="52" t="s">
        <v>147</v>
      </c>
      <c r="E14" s="215" t="s">
        <v>304</v>
      </c>
      <c r="F14" s="216"/>
      <c r="G14" s="217"/>
      <c r="H14" s="267"/>
      <c r="I14" s="267"/>
      <c r="J14" s="267"/>
      <c r="K14" s="267"/>
    </row>
    <row r="15" spans="1:11" ht="12.75">
      <c r="A15" s="41" t="s">
        <v>148</v>
      </c>
      <c r="B15" s="202">
        <v>-1</v>
      </c>
      <c r="C15" s="202"/>
      <c r="D15" s="52" t="s">
        <v>149</v>
      </c>
      <c r="E15" s="215" t="s">
        <v>302</v>
      </c>
      <c r="F15" s="216"/>
      <c r="G15" s="217"/>
      <c r="H15" s="267"/>
      <c r="I15" s="267"/>
      <c r="J15" s="267"/>
      <c r="K15" s="267"/>
    </row>
    <row r="16" spans="1:11" ht="12.75">
      <c r="A16" s="41" t="s">
        <v>150</v>
      </c>
      <c r="B16" s="202">
        <v>0</v>
      </c>
      <c r="C16" s="202"/>
      <c r="D16" s="52" t="s">
        <v>151</v>
      </c>
      <c r="E16" s="215"/>
      <c r="F16" s="216"/>
      <c r="G16" s="217"/>
      <c r="H16" s="267"/>
      <c r="I16" s="267"/>
      <c r="J16" s="267"/>
      <c r="K16" s="267"/>
    </row>
    <row r="17" spans="1:11" ht="12.75">
      <c r="A17" s="41" t="s">
        <v>152</v>
      </c>
      <c r="B17" s="202">
        <v>0.995</v>
      </c>
      <c r="C17" s="202"/>
      <c r="D17" s="52" t="s">
        <v>153</v>
      </c>
      <c r="E17" s="215" t="s">
        <v>289</v>
      </c>
      <c r="F17" s="216"/>
      <c r="G17" s="217"/>
      <c r="H17" s="267"/>
      <c r="I17" s="267"/>
      <c r="J17" s="267"/>
      <c r="K17" s="267"/>
    </row>
    <row r="18" spans="1:11" ht="12.75">
      <c r="A18" s="41" t="s">
        <v>154</v>
      </c>
      <c r="B18" s="197">
        <v>34.7</v>
      </c>
      <c r="C18" s="197"/>
      <c r="D18" s="52" t="s">
        <v>155</v>
      </c>
      <c r="E18" s="215"/>
      <c r="F18" s="216"/>
      <c r="G18" s="217"/>
      <c r="H18" s="267"/>
      <c r="I18" s="267"/>
      <c r="J18" s="267"/>
      <c r="K18" s="267"/>
    </row>
    <row r="19" spans="1:11" ht="12.75">
      <c r="A19" s="41" t="s">
        <v>156</v>
      </c>
      <c r="B19" s="197">
        <v>0</v>
      </c>
      <c r="C19" s="197"/>
      <c r="D19" s="53" t="s">
        <v>157</v>
      </c>
      <c r="E19" s="219"/>
      <c r="F19" s="216"/>
      <c r="G19" s="217"/>
      <c r="H19" s="267"/>
      <c r="I19" s="267"/>
      <c r="J19" s="267"/>
      <c r="K19" s="267"/>
    </row>
    <row r="20" spans="1:11" ht="12.75">
      <c r="A20" s="41" t="s">
        <v>158</v>
      </c>
      <c r="B20" s="197">
        <v>490</v>
      </c>
      <c r="C20" s="197"/>
      <c r="D20" s="41" t="s">
        <v>159</v>
      </c>
      <c r="E20" s="220"/>
      <c r="F20" s="216"/>
      <c r="G20" s="217"/>
      <c r="H20" s="267"/>
      <c r="I20" s="267"/>
      <c r="J20" s="267"/>
      <c r="K20" s="267"/>
    </row>
    <row r="21" spans="1:11" ht="12.75">
      <c r="A21" s="41" t="s">
        <v>160</v>
      </c>
      <c r="B21" s="197">
        <v>31</v>
      </c>
      <c r="C21" s="197"/>
      <c r="D21" s="195" t="s">
        <v>261</v>
      </c>
      <c r="E21" s="221" t="s">
        <v>300</v>
      </c>
      <c r="F21" s="222"/>
      <c r="G21" s="223"/>
      <c r="H21" s="267"/>
      <c r="I21" s="267"/>
      <c r="J21" s="267"/>
      <c r="K21" s="267"/>
    </row>
    <row r="22" spans="1:11" ht="12.75">
      <c r="A22" s="41" t="s">
        <v>161</v>
      </c>
      <c r="B22" s="197">
        <v>6.9</v>
      </c>
      <c r="C22" s="197"/>
      <c r="D22" s="196" t="s">
        <v>262</v>
      </c>
      <c r="E22" s="224" t="s">
        <v>274</v>
      </c>
      <c r="F22" s="225"/>
      <c r="G22" s="226" t="s">
        <v>301</v>
      </c>
      <c r="H22" s="267"/>
      <c r="I22" s="267"/>
      <c r="J22" s="267"/>
      <c r="K22" s="267"/>
    </row>
    <row r="23" spans="1:11" ht="12.75">
      <c r="A23" s="41" t="s">
        <v>162</v>
      </c>
      <c r="B23" s="197">
        <v>1</v>
      </c>
      <c r="C23" s="197"/>
      <c r="D23" s="231"/>
      <c r="E23" s="231"/>
      <c r="F23" s="231"/>
      <c r="G23" s="231"/>
      <c r="H23" s="269"/>
      <c r="I23" s="269"/>
      <c r="J23" s="269"/>
      <c r="K23" s="269"/>
    </row>
    <row r="24" spans="1:11" ht="13.5" thickBot="1">
      <c r="A24" s="41" t="s">
        <v>163</v>
      </c>
      <c r="B24" s="197">
        <v>0</v>
      </c>
      <c r="C24" s="197"/>
      <c r="D24" s="227"/>
      <c r="E24" s="227"/>
      <c r="F24" s="227"/>
      <c r="G24" s="227"/>
      <c r="H24" s="269"/>
      <c r="I24" s="269"/>
      <c r="J24" s="269"/>
      <c r="K24" s="269"/>
    </row>
    <row r="25" spans="1:11" ht="14.25" thickBot="1" thickTop="1">
      <c r="A25" s="228" t="s">
        <v>8</v>
      </c>
      <c r="B25" s="227"/>
      <c r="C25" s="229" t="s">
        <v>164</v>
      </c>
      <c r="D25" s="230"/>
      <c r="E25" s="227" t="s">
        <v>8</v>
      </c>
      <c r="F25" s="227"/>
      <c r="G25" s="227"/>
      <c r="H25" s="269"/>
      <c r="I25" s="269"/>
      <c r="J25" s="269"/>
      <c r="K25" s="269"/>
    </row>
    <row r="26" spans="1:11" ht="14.25" thickTop="1">
      <c r="A26" s="245"/>
      <c r="B26" s="246" t="s">
        <v>165</v>
      </c>
      <c r="C26" s="247"/>
      <c r="D26" s="245"/>
      <c r="E26" s="245"/>
      <c r="F26" s="245"/>
      <c r="G26" s="227"/>
      <c r="H26" s="269"/>
      <c r="I26" s="269"/>
      <c r="J26" s="269"/>
      <c r="K26" s="269"/>
    </row>
    <row r="27" spans="1:11" ht="12.75">
      <c r="A27" s="248" t="s">
        <v>74</v>
      </c>
      <c r="B27" s="245" t="s">
        <v>75</v>
      </c>
      <c r="C27" s="249" t="s">
        <v>166</v>
      </c>
      <c r="D27" s="249" t="s">
        <v>167</v>
      </c>
      <c r="E27" s="245"/>
      <c r="F27" s="249" t="s">
        <v>168</v>
      </c>
      <c r="G27" s="227"/>
      <c r="H27" s="269"/>
      <c r="I27" s="269"/>
      <c r="J27" s="269"/>
      <c r="K27" s="269"/>
    </row>
    <row r="28" spans="1:11" ht="12.75">
      <c r="A28" s="204">
        <v>2.45</v>
      </c>
      <c r="B28" s="197">
        <v>2035</v>
      </c>
      <c r="C28" s="197">
        <v>8.75</v>
      </c>
      <c r="D28" s="197">
        <v>-2.02</v>
      </c>
      <c r="E28" s="205">
        <f>A29+0.5</f>
        <v>2.9552</v>
      </c>
      <c r="F28" s="197">
        <v>41.98</v>
      </c>
      <c r="G28" s="227"/>
      <c r="H28" s="269"/>
      <c r="I28" s="269"/>
      <c r="J28" s="269"/>
      <c r="K28" s="269"/>
    </row>
    <row r="29" spans="1:11" ht="12.75">
      <c r="A29" s="206">
        <f>ROUND(Hoja2!$E$10,4)</f>
        <v>2.4552</v>
      </c>
      <c r="B29" s="211">
        <v>2039.66</v>
      </c>
      <c r="C29" s="207">
        <v>8.75</v>
      </c>
      <c r="D29" s="212">
        <v>-2.02</v>
      </c>
      <c r="E29" s="208"/>
      <c r="F29" s="214">
        <v>3.17</v>
      </c>
      <c r="G29" s="227"/>
      <c r="H29" s="269"/>
      <c r="I29" s="269"/>
      <c r="J29" s="269"/>
      <c r="K29" s="269"/>
    </row>
    <row r="30" spans="1:11" ht="12.75">
      <c r="A30" s="204">
        <v>2.47</v>
      </c>
      <c r="B30" s="197">
        <v>2053</v>
      </c>
      <c r="C30" s="197">
        <v>8.75</v>
      </c>
      <c r="D30" s="197">
        <v>-2.02</v>
      </c>
      <c r="E30" s="205">
        <f>A29-0.5</f>
        <v>1.9552</v>
      </c>
      <c r="F30" s="197">
        <v>38.81</v>
      </c>
      <c r="G30" s="227"/>
      <c r="H30" s="269"/>
      <c r="I30" s="269"/>
      <c r="J30" s="269"/>
      <c r="K30" s="269"/>
    </row>
    <row r="31" spans="1:11" ht="12.75">
      <c r="A31" s="227"/>
      <c r="B31" s="227"/>
      <c r="C31" s="227"/>
      <c r="D31" s="227"/>
      <c r="E31" s="227"/>
      <c r="F31" s="227"/>
      <c r="G31" s="227"/>
      <c r="H31" s="269"/>
      <c r="I31" s="269"/>
      <c r="J31" s="269"/>
      <c r="K31" s="269"/>
    </row>
    <row r="32" spans="1:11" ht="12.75">
      <c r="A32" s="245"/>
      <c r="B32" s="250" t="s">
        <v>169</v>
      </c>
      <c r="C32" s="245"/>
      <c r="D32" s="245"/>
      <c r="E32" s="245"/>
      <c r="F32" s="245"/>
      <c r="G32" s="227"/>
      <c r="H32" s="269"/>
      <c r="I32" s="269"/>
      <c r="J32" s="269"/>
      <c r="K32" s="269"/>
    </row>
    <row r="33" spans="1:11" ht="12.75">
      <c r="A33" s="245" t="s">
        <v>74</v>
      </c>
      <c r="B33" s="245" t="s">
        <v>75</v>
      </c>
      <c r="C33" s="249" t="s">
        <v>166</v>
      </c>
      <c r="D33" s="249" t="s">
        <v>167</v>
      </c>
      <c r="E33" s="245"/>
      <c r="F33" s="249" t="s">
        <v>170</v>
      </c>
      <c r="G33" s="227"/>
      <c r="H33" s="269"/>
      <c r="I33" s="269"/>
      <c r="J33" s="269"/>
      <c r="K33" s="269"/>
    </row>
    <row r="34" spans="1:11" ht="12.75">
      <c r="A34" s="204"/>
      <c r="B34" s="197"/>
      <c r="C34" s="197"/>
      <c r="D34" s="197"/>
      <c r="E34" s="209">
        <f>A35+0.5</f>
        <v>0.5</v>
      </c>
      <c r="F34" s="197"/>
      <c r="G34" s="227"/>
      <c r="H34" s="269"/>
      <c r="I34" s="269"/>
      <c r="J34" s="269"/>
      <c r="K34" s="269"/>
    </row>
    <row r="35" spans="1:11" ht="12.75">
      <c r="A35" s="210">
        <f>Hoja2!$G$10</f>
        <v>0</v>
      </c>
      <c r="B35" s="211"/>
      <c r="C35" s="207"/>
      <c r="D35" s="212"/>
      <c r="E35" s="213"/>
      <c r="F35" s="214"/>
      <c r="G35" s="227"/>
      <c r="H35" s="269"/>
      <c r="I35" s="269"/>
      <c r="J35" s="269"/>
      <c r="K35" s="269"/>
    </row>
    <row r="36" spans="1:11" ht="12.75">
      <c r="A36" s="204"/>
      <c r="B36" s="197"/>
      <c r="C36" s="197"/>
      <c r="D36" s="197"/>
      <c r="E36" s="205">
        <f>A35-0.5</f>
        <v>-0.5</v>
      </c>
      <c r="F36" s="197"/>
      <c r="G36" s="227"/>
      <c r="H36" s="269"/>
      <c r="I36" s="269"/>
      <c r="J36" s="269"/>
      <c r="K36" s="269"/>
    </row>
    <row r="37" spans="1:11" ht="12.75">
      <c r="A37" s="227"/>
      <c r="B37" s="227"/>
      <c r="C37" s="227"/>
      <c r="D37" s="227"/>
      <c r="E37" s="227"/>
      <c r="F37" s="227"/>
      <c r="G37" s="227"/>
      <c r="H37" s="269"/>
      <c r="I37" s="269"/>
      <c r="J37" s="269"/>
      <c r="K37" s="269"/>
    </row>
    <row r="38" spans="1:11" ht="12.75">
      <c r="A38" s="251"/>
      <c r="B38" s="251"/>
      <c r="C38" s="252" t="s">
        <v>171</v>
      </c>
      <c r="D38" s="253"/>
      <c r="E38" s="254" t="s">
        <v>172</v>
      </c>
      <c r="F38" s="251"/>
      <c r="G38" s="227"/>
      <c r="H38" s="269"/>
      <c r="I38" s="269"/>
      <c r="J38" s="269"/>
      <c r="K38" s="269"/>
    </row>
    <row r="39" spans="1:11" ht="12.75">
      <c r="A39" s="251" t="s">
        <v>173</v>
      </c>
      <c r="B39" s="251"/>
      <c r="C39" s="232">
        <f>A29</f>
        <v>2.4552</v>
      </c>
      <c r="D39" s="255" t="s">
        <v>174</v>
      </c>
      <c r="E39" s="232">
        <f>A35</f>
        <v>0</v>
      </c>
      <c r="F39" s="251" t="s">
        <v>174</v>
      </c>
      <c r="G39" s="227"/>
      <c r="H39" s="269"/>
      <c r="I39" s="269"/>
      <c r="J39" s="269"/>
      <c r="K39" s="269"/>
    </row>
    <row r="40" spans="1:11" ht="12.75">
      <c r="A40" s="251"/>
      <c r="B40" s="251"/>
      <c r="C40" s="251"/>
      <c r="D40" s="251"/>
      <c r="E40" s="251" t="s">
        <v>8</v>
      </c>
      <c r="F40" s="251"/>
      <c r="G40" s="227"/>
      <c r="H40" s="269"/>
      <c r="I40" s="269"/>
      <c r="J40" s="269"/>
      <c r="K40" s="269"/>
    </row>
    <row r="41" spans="1:11" ht="12.75">
      <c r="A41" s="251" t="s">
        <v>75</v>
      </c>
      <c r="B41" s="251"/>
      <c r="C41" s="233">
        <f>Hoja2!$E$18</f>
        <v>1381.121594157919</v>
      </c>
      <c r="D41" s="255" t="s">
        <v>61</v>
      </c>
      <c r="E41" s="234">
        <f>Hoja2!$G$18</f>
        <v>0</v>
      </c>
      <c r="F41" s="251" t="s">
        <v>61</v>
      </c>
      <c r="G41" s="227"/>
      <c r="H41" s="269"/>
      <c r="I41" s="269"/>
      <c r="J41" s="269"/>
      <c r="K41" s="269"/>
    </row>
    <row r="42" spans="1:11" ht="12.75">
      <c r="A42" s="251"/>
      <c r="B42" s="251"/>
      <c r="C42" s="251"/>
      <c r="D42" s="251"/>
      <c r="E42" s="251"/>
      <c r="F42" s="251"/>
      <c r="G42" s="227"/>
      <c r="H42" s="269"/>
      <c r="I42" s="269"/>
      <c r="J42" s="269"/>
      <c r="K42" s="269"/>
    </row>
    <row r="43" spans="1:11" ht="12.75">
      <c r="A43" s="251" t="s">
        <v>13</v>
      </c>
      <c r="B43" s="251"/>
      <c r="C43" s="251"/>
      <c r="D43" s="235">
        <f>Hoja3!$F$35</f>
        <v>0</v>
      </c>
      <c r="E43" s="251" t="s">
        <v>61</v>
      </c>
      <c r="F43" s="251"/>
      <c r="G43" s="227"/>
      <c r="H43" s="269"/>
      <c r="I43" s="269"/>
      <c r="J43" s="269"/>
      <c r="K43" s="269"/>
    </row>
    <row r="44" spans="1:11" ht="15.75">
      <c r="A44" s="251" t="s">
        <v>175</v>
      </c>
      <c r="B44" s="236">
        <f>C41-E10</f>
        <v>61.17159415791889</v>
      </c>
      <c r="C44" s="251" t="s">
        <v>61</v>
      </c>
      <c r="D44" s="235">
        <f>Hoja3!$F$36</f>
        <v>0</v>
      </c>
      <c r="E44" s="251" t="s">
        <v>176</v>
      </c>
      <c r="F44" s="251"/>
      <c r="G44" s="227"/>
      <c r="H44" s="269"/>
      <c r="I44" s="269"/>
      <c r="J44" s="269"/>
      <c r="K44" s="269"/>
    </row>
    <row r="45" spans="1:11" ht="12.75">
      <c r="A45" s="251" t="s">
        <v>177</v>
      </c>
      <c r="B45" s="251"/>
      <c r="C45" s="251"/>
      <c r="D45" s="237">
        <v>0</v>
      </c>
      <c r="E45" s="251" t="s">
        <v>61</v>
      </c>
      <c r="F45" s="251"/>
      <c r="G45" s="227"/>
      <c r="H45" s="269"/>
      <c r="I45" s="269"/>
      <c r="J45" s="269"/>
      <c r="K45" s="269"/>
    </row>
    <row r="46" spans="1:11" ht="12.75">
      <c r="A46" s="251" t="s">
        <v>178</v>
      </c>
      <c r="B46" s="251"/>
      <c r="C46" s="251"/>
      <c r="D46" s="256">
        <f>D43-D45</f>
        <v>0</v>
      </c>
      <c r="E46" s="251" t="s">
        <v>61</v>
      </c>
      <c r="F46" s="251"/>
      <c r="G46" s="227"/>
      <c r="H46" s="269"/>
      <c r="I46" s="269"/>
      <c r="J46" s="269"/>
      <c r="K46" s="269"/>
    </row>
    <row r="47" spans="1:11" ht="12.75">
      <c r="A47" s="251"/>
      <c r="B47" s="251"/>
      <c r="C47" s="251" t="s">
        <v>179</v>
      </c>
      <c r="D47" s="257" t="s">
        <v>269</v>
      </c>
      <c r="E47" s="251"/>
      <c r="F47" s="251"/>
      <c r="G47" s="227"/>
      <c r="H47" s="269"/>
      <c r="I47" s="269"/>
      <c r="J47" s="269"/>
      <c r="K47" s="269"/>
    </row>
    <row r="48" spans="1:11" ht="12.75">
      <c r="A48" s="251"/>
      <c r="B48" s="251"/>
      <c r="C48" s="251"/>
      <c r="D48" s="251" t="s">
        <v>180</v>
      </c>
      <c r="E48" s="251"/>
      <c r="F48" s="251"/>
      <c r="G48" s="227"/>
      <c r="H48" s="269"/>
      <c r="I48" s="269"/>
      <c r="J48" s="269"/>
      <c r="K48" s="269"/>
    </row>
    <row r="49" spans="1:11" ht="12.75">
      <c r="A49" s="227"/>
      <c r="B49" s="227"/>
      <c r="C49" s="227"/>
      <c r="D49" s="227"/>
      <c r="E49" s="227"/>
      <c r="F49" s="227"/>
      <c r="G49" s="227"/>
      <c r="H49" s="269"/>
      <c r="I49" s="269"/>
      <c r="J49" s="269"/>
      <c r="K49" s="269"/>
    </row>
    <row r="50" spans="1:11" ht="12.75">
      <c r="A50" s="258" t="s">
        <v>263</v>
      </c>
      <c r="B50" s="227"/>
      <c r="C50" s="227"/>
      <c r="D50" s="227"/>
      <c r="E50" s="227"/>
      <c r="F50" s="227"/>
      <c r="G50" s="227"/>
      <c r="H50" s="269"/>
      <c r="I50" s="269"/>
      <c r="J50" s="269"/>
      <c r="K50" s="269"/>
    </row>
    <row r="51" spans="1:11" ht="13.5">
      <c r="A51" s="259" t="s">
        <v>263</v>
      </c>
      <c r="B51" s="260">
        <v>-9.8</v>
      </c>
      <c r="C51" s="227" t="s">
        <v>267</v>
      </c>
      <c r="D51" s="227"/>
      <c r="E51" s="227"/>
      <c r="F51" s="227"/>
      <c r="G51" s="227"/>
      <c r="H51" s="269"/>
      <c r="I51" s="269"/>
      <c r="J51" s="269"/>
      <c r="K51" s="269"/>
    </row>
    <row r="52" spans="1:11" ht="12.75">
      <c r="A52" s="259" t="s">
        <v>264</v>
      </c>
      <c r="B52" s="261">
        <v>1.5</v>
      </c>
      <c r="C52" s="227" t="s">
        <v>268</v>
      </c>
      <c r="D52" s="227"/>
      <c r="E52" s="227"/>
      <c r="F52" s="227"/>
      <c r="G52" s="227"/>
      <c r="H52" s="269"/>
      <c r="I52" s="269"/>
      <c r="J52" s="269"/>
      <c r="K52" s="269"/>
    </row>
    <row r="53" spans="1:11" ht="12.75">
      <c r="A53" s="262" t="s">
        <v>265</v>
      </c>
      <c r="B53" s="263">
        <v>32.26</v>
      </c>
      <c r="C53" s="264" t="s">
        <v>267</v>
      </c>
      <c r="D53" s="264"/>
      <c r="E53" s="264"/>
      <c r="F53" s="227"/>
      <c r="G53" s="227"/>
      <c r="H53" s="269"/>
      <c r="I53" s="269"/>
      <c r="J53" s="269"/>
      <c r="K53" s="269"/>
    </row>
    <row r="54" spans="1:11" ht="12.75">
      <c r="A54" s="264"/>
      <c r="B54" s="264"/>
      <c r="C54" s="264"/>
      <c r="D54" s="264"/>
      <c r="E54" s="264"/>
      <c r="F54" s="227"/>
      <c r="G54" s="227"/>
      <c r="H54" s="269"/>
      <c r="I54" s="269"/>
      <c r="J54" s="269"/>
      <c r="K54" s="269"/>
    </row>
    <row r="55" spans="1:11" ht="20.25">
      <c r="A55" s="265" t="s">
        <v>266</v>
      </c>
      <c r="B55" s="266">
        <f>(B53/2*TAN(B52*PI()/180)+B51)*-1</f>
        <v>9.377621085089016</v>
      </c>
      <c r="C55" s="227" t="s">
        <v>267</v>
      </c>
      <c r="D55" s="264"/>
      <c r="E55" s="264"/>
      <c r="F55" s="227"/>
      <c r="G55" s="227"/>
      <c r="H55" s="269"/>
      <c r="I55" s="269"/>
      <c r="J55" s="269"/>
      <c r="K55" s="269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 s="39"/>
      <c r="C81" s="39"/>
      <c r="D81" s="39"/>
      <c r="E81" s="39"/>
    </row>
    <row r="82" spans="1:4" ht="12.75">
      <c r="A82"/>
      <c r="B82" s="39"/>
      <c r="C82" s="39"/>
      <c r="D82" s="39"/>
    </row>
    <row r="83" spans="1:4" ht="12.75">
      <c r="A83"/>
      <c r="B83" s="39"/>
      <c r="C83" s="39"/>
      <c r="D83" s="39"/>
    </row>
    <row r="84" spans="1:4" ht="12.75">
      <c r="A84"/>
      <c r="B84" s="39"/>
      <c r="C84" s="39"/>
      <c r="D84" s="39"/>
    </row>
    <row r="85" spans="1:4" ht="12.75">
      <c r="A85"/>
      <c r="B85" s="39"/>
      <c r="C85" s="39"/>
      <c r="D85" s="39"/>
    </row>
    <row r="86" spans="1:3" ht="12.75">
      <c r="A86"/>
      <c r="B86" s="39"/>
      <c r="C86" s="39"/>
    </row>
    <row r="87" spans="1:3" ht="12.75">
      <c r="A87"/>
      <c r="C87" s="39"/>
    </row>
    <row r="88" spans="1:3" ht="12.75">
      <c r="A88"/>
      <c r="C88" s="39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</sheetData>
  <printOptions/>
  <pageMargins left="0.1968503937007874" right="0.1968503937007874" top="0.984251968503937" bottom="0.984251968503937" header="0.5118110236220472" footer="0.5118110236220472"/>
  <pageSetup horizontalDpi="120" verticalDpi="120" orientation="portrait" r:id="rId5"/>
  <headerFooter alignWithMargins="0">
    <oddHeader>&amp;C&amp;A</oddHeader>
    <oddFooter>&amp;CPágina &amp;P</oddFooter>
  </headerFooter>
  <drawing r:id="rId4"/>
  <legacyDrawing r:id="rId3"/>
  <oleObjects>
    <oleObject progId="MS_ClipArt_Gallery" shapeId="595074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F16" sqref="F16"/>
    </sheetView>
  </sheetViews>
  <sheetFormatPr defaultColWidth="9.33203125" defaultRowHeight="12.75"/>
  <cols>
    <col min="1" max="1" width="12" style="0" customWidth="1"/>
    <col min="2" max="2" width="17.33203125" style="0" customWidth="1"/>
    <col min="3" max="16384" width="12" style="0" customWidth="1"/>
  </cols>
  <sheetData>
    <row r="1" spans="1:5" ht="12.75">
      <c r="A1" s="1"/>
      <c r="B1" s="121" t="s">
        <v>181</v>
      </c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40" t="s">
        <v>74</v>
      </c>
      <c r="B3" s="40" t="s">
        <v>75</v>
      </c>
      <c r="C3" s="40" t="s">
        <v>166</v>
      </c>
      <c r="D3" s="40" t="s">
        <v>167</v>
      </c>
      <c r="E3" s="40" t="s">
        <v>182</v>
      </c>
    </row>
    <row r="4" spans="1:5" ht="12.75">
      <c r="A4" s="42">
        <v>5.29</v>
      </c>
      <c r="B4" s="40">
        <v>35500</v>
      </c>
      <c r="C4" s="40">
        <v>12.2</v>
      </c>
      <c r="D4" s="40">
        <v>-3.33</v>
      </c>
      <c r="E4" s="40">
        <v>880.2</v>
      </c>
    </row>
    <row r="5" spans="1:5" ht="12.75">
      <c r="A5" s="42">
        <v>5.7</v>
      </c>
      <c r="B5" s="40">
        <v>33922</v>
      </c>
      <c r="C5" s="40">
        <v>63.3</v>
      </c>
      <c r="D5" s="40">
        <v>-6.78</v>
      </c>
      <c r="E5" s="40">
        <v>2460</v>
      </c>
    </row>
    <row r="6" spans="1:5" ht="12.75">
      <c r="A6" s="42">
        <v>5.8</v>
      </c>
      <c r="B6" s="40">
        <v>34556</v>
      </c>
      <c r="C6" s="40">
        <v>63.3</v>
      </c>
      <c r="D6" s="40">
        <v>-5.74</v>
      </c>
      <c r="E6" s="40">
        <v>2463</v>
      </c>
    </row>
    <row r="7" spans="1:5" ht="12.75">
      <c r="A7" s="42">
        <v>6.29</v>
      </c>
      <c r="B7" s="40">
        <v>36800</v>
      </c>
      <c r="C7" s="40">
        <v>12.7</v>
      </c>
      <c r="D7" s="40">
        <v>-3.56</v>
      </c>
      <c r="E7" s="40">
        <v>2465</v>
      </c>
    </row>
    <row r="8" spans="1:5" ht="12.75">
      <c r="A8" s="42">
        <f aca="true" t="shared" si="0" ref="A8:A21">A7+0.01</f>
        <v>6.3</v>
      </c>
      <c r="B8" s="40">
        <v>37000</v>
      </c>
      <c r="C8" s="40">
        <v>12.9</v>
      </c>
      <c r="D8" s="40">
        <v>-3.87</v>
      </c>
      <c r="E8" s="40">
        <v>2487</v>
      </c>
    </row>
    <row r="9" spans="1:5" ht="12.75">
      <c r="A9" s="42">
        <f t="shared" si="0"/>
        <v>6.31</v>
      </c>
      <c r="B9" s="40">
        <v>37500</v>
      </c>
      <c r="C9" s="40">
        <v>13</v>
      </c>
      <c r="D9" s="40">
        <v>-3.78</v>
      </c>
      <c r="E9" s="40">
        <v>2490</v>
      </c>
    </row>
    <row r="10" spans="1:5" ht="12.75">
      <c r="A10" s="42">
        <f t="shared" si="0"/>
        <v>6.319999999999999</v>
      </c>
      <c r="B10" s="40">
        <v>37685</v>
      </c>
      <c r="C10" s="40">
        <v>13.3</v>
      </c>
      <c r="D10" s="40">
        <v>-3.9</v>
      </c>
      <c r="E10" s="40">
        <v>2498</v>
      </c>
    </row>
    <row r="11" spans="1:5" ht="12.75">
      <c r="A11" s="42">
        <f t="shared" si="0"/>
        <v>6.329999999999999</v>
      </c>
      <c r="B11" s="40">
        <v>38000</v>
      </c>
      <c r="C11" s="40">
        <v>13.2</v>
      </c>
      <c r="D11" s="40">
        <v>-3.97</v>
      </c>
      <c r="E11" s="40">
        <v>2500</v>
      </c>
    </row>
    <row r="12" spans="1:5" ht="12.75">
      <c r="A12" s="42">
        <f t="shared" si="0"/>
        <v>6.339999999999999</v>
      </c>
      <c r="B12" s="40">
        <v>38500</v>
      </c>
      <c r="C12" s="40">
        <v>13.25</v>
      </c>
      <c r="D12" s="40">
        <v>-3.99</v>
      </c>
      <c r="E12" s="40">
        <v>2510</v>
      </c>
    </row>
    <row r="13" spans="1:5" ht="12.75">
      <c r="A13" s="42">
        <f t="shared" si="0"/>
        <v>6.349999999999999</v>
      </c>
      <c r="B13" s="40">
        <v>38545</v>
      </c>
      <c r="C13" s="40">
        <v>13.26</v>
      </c>
      <c r="D13" s="40">
        <v>4.01</v>
      </c>
      <c r="E13" s="40">
        <v>2520</v>
      </c>
    </row>
    <row r="14" spans="1:5" ht="12.75">
      <c r="A14" s="42">
        <f t="shared" si="0"/>
        <v>6.3599999999999985</v>
      </c>
      <c r="B14" s="40">
        <v>38560</v>
      </c>
      <c r="C14" s="40">
        <v>13.27</v>
      </c>
      <c r="D14" s="42">
        <v>4</v>
      </c>
      <c r="E14" s="40">
        <v>2512</v>
      </c>
    </row>
    <row r="15" spans="1:5" ht="12.75">
      <c r="A15" s="42">
        <f t="shared" si="0"/>
        <v>6.369999999999998</v>
      </c>
      <c r="B15" s="40">
        <v>38700</v>
      </c>
      <c r="C15" s="40">
        <v>13.28</v>
      </c>
      <c r="D15" s="40">
        <v>4.03</v>
      </c>
      <c r="E15" s="40">
        <v>2530</v>
      </c>
    </row>
    <row r="16" spans="1:5" ht="12.75">
      <c r="A16" s="42">
        <f t="shared" si="0"/>
        <v>6.379999999999998</v>
      </c>
      <c r="B16" s="40">
        <v>39000</v>
      </c>
      <c r="C16" s="40">
        <v>13.29</v>
      </c>
      <c r="D16" s="40">
        <v>4.1</v>
      </c>
      <c r="E16" s="40">
        <v>2536</v>
      </c>
    </row>
    <row r="17" spans="1:5" ht="12.75">
      <c r="A17" s="42">
        <f t="shared" si="0"/>
        <v>6.389999999999998</v>
      </c>
      <c r="B17" s="40">
        <v>39100</v>
      </c>
      <c r="C17" s="40">
        <v>13.3</v>
      </c>
      <c r="D17" s="40">
        <v>4.2</v>
      </c>
      <c r="E17" s="40">
        <v>2547</v>
      </c>
    </row>
    <row r="18" spans="1:5" ht="12.75">
      <c r="A18" s="42">
        <f t="shared" si="0"/>
        <v>6.399999999999998</v>
      </c>
      <c r="B18" s="40">
        <v>39200</v>
      </c>
      <c r="C18" s="40">
        <v>13.31</v>
      </c>
      <c r="D18" s="40">
        <v>4.25</v>
      </c>
      <c r="E18" s="40">
        <v>2578</v>
      </c>
    </row>
    <row r="19" spans="1:5" ht="12.75">
      <c r="A19" s="42">
        <f t="shared" si="0"/>
        <v>6.4099999999999975</v>
      </c>
      <c r="B19" s="40">
        <v>39300</v>
      </c>
      <c r="C19" s="40">
        <v>13.32</v>
      </c>
      <c r="D19" s="40">
        <v>4.3</v>
      </c>
      <c r="E19" s="40">
        <v>2569</v>
      </c>
    </row>
    <row r="20" spans="1:5" ht="12.75">
      <c r="A20" s="42">
        <f t="shared" si="0"/>
        <v>6.419999999999997</v>
      </c>
      <c r="B20" s="40">
        <v>39400</v>
      </c>
      <c r="C20" s="40">
        <v>13.33</v>
      </c>
      <c r="D20" s="40">
        <v>4.35</v>
      </c>
      <c r="E20" s="40">
        <v>2590</v>
      </c>
    </row>
    <row r="21" spans="1:5" ht="12.75">
      <c r="A21" s="42">
        <f t="shared" si="0"/>
        <v>6.429999999999997</v>
      </c>
      <c r="B21" s="40">
        <v>39500</v>
      </c>
      <c r="C21" s="40">
        <v>13.34</v>
      </c>
      <c r="D21" s="40">
        <v>4.4</v>
      </c>
      <c r="E21" s="40">
        <v>2599</v>
      </c>
    </row>
    <row r="22" spans="1:5" ht="12.75">
      <c r="A22" s="42">
        <f>A21+0.01</f>
        <v>6.439999999999997</v>
      </c>
      <c r="B22" s="40">
        <v>39700</v>
      </c>
      <c r="C22" s="40">
        <v>13.35</v>
      </c>
      <c r="D22" s="40">
        <v>4.5</v>
      </c>
      <c r="E22" s="40">
        <v>2699</v>
      </c>
    </row>
    <row r="23" spans="1:5" ht="12.75">
      <c r="A23" s="42">
        <f>A22+0.01</f>
        <v>6.449999999999997</v>
      </c>
      <c r="B23" s="40">
        <v>39800</v>
      </c>
      <c r="C23" s="40">
        <v>13.36</v>
      </c>
      <c r="D23" s="40">
        <v>4.6</v>
      </c>
      <c r="E23" s="40">
        <v>2700</v>
      </c>
    </row>
    <row r="24" spans="1:5" ht="12.75">
      <c r="A24" s="42"/>
      <c r="B24" s="40"/>
      <c r="C24" s="40" t="s">
        <v>8</v>
      </c>
      <c r="D24" s="40" t="s">
        <v>8</v>
      </c>
      <c r="E24" s="40"/>
    </row>
  </sheetData>
  <sheetProtection password="CCF5" sheet="1" objects="1" scenarios="1"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4">
      <selection activeCell="A19" sqref="A19"/>
    </sheetView>
  </sheetViews>
  <sheetFormatPr defaultColWidth="12" defaultRowHeight="12.75"/>
  <cols>
    <col min="1" max="16384" width="12" style="1" customWidth="1"/>
  </cols>
  <sheetData>
    <row r="1" spans="1:5" ht="12.75">
      <c r="A1" s="101" t="s">
        <v>183</v>
      </c>
      <c r="B1" s="102">
        <f ca="1">NOW()</f>
        <v>37957.941269097224</v>
      </c>
      <c r="C1" s="103"/>
      <c r="D1" s="103"/>
      <c r="E1" s="104"/>
    </row>
    <row r="2" spans="1:5" ht="12.75">
      <c r="A2" s="105"/>
      <c r="B2" s="18"/>
      <c r="C2" s="18"/>
      <c r="D2" s="18"/>
      <c r="E2" s="106"/>
    </row>
    <row r="3" spans="1:5" ht="12.75">
      <c r="A3" s="105" t="s">
        <v>184</v>
      </c>
      <c r="B3" s="18"/>
      <c r="C3" s="18"/>
      <c r="D3" s="18"/>
      <c r="E3" s="106"/>
    </row>
    <row r="4" spans="1:5" ht="12.75">
      <c r="A4" s="105"/>
      <c r="B4" s="18"/>
      <c r="C4" s="18"/>
      <c r="D4" s="18"/>
      <c r="E4" s="106"/>
    </row>
    <row r="5" spans="1:5" ht="12.75">
      <c r="A5" s="105" t="s">
        <v>185</v>
      </c>
      <c r="B5" s="18" t="s">
        <v>186</v>
      </c>
      <c r="C5" s="18"/>
      <c r="D5" s="18"/>
      <c r="E5" s="106"/>
    </row>
    <row r="6" spans="1:5" ht="12.75">
      <c r="A6" s="105"/>
      <c r="B6" s="18"/>
      <c r="C6" s="18"/>
      <c r="D6" s="18"/>
      <c r="E6" s="106"/>
    </row>
    <row r="7" spans="1:5" ht="12.75">
      <c r="A7" s="105" t="s">
        <v>187</v>
      </c>
      <c r="B7" s="18" t="s">
        <v>188</v>
      </c>
      <c r="C7" s="18"/>
      <c r="D7" s="18"/>
      <c r="E7" s="106"/>
    </row>
    <row r="8" spans="1:5" ht="12.75">
      <c r="A8" s="105"/>
      <c r="B8" s="18"/>
      <c r="C8" s="18"/>
      <c r="D8" s="18"/>
      <c r="E8" s="106"/>
    </row>
    <row r="9" spans="1:5" ht="12.75">
      <c r="A9" s="105" t="s">
        <v>189</v>
      </c>
      <c r="B9" s="18" t="str">
        <f>Hoja1!$D$8</f>
        <v>DUTCH SPEAR</v>
      </c>
      <c r="C9" s="18"/>
      <c r="D9" s="18"/>
      <c r="E9" s="106"/>
    </row>
    <row r="10" spans="1:5" ht="12.75">
      <c r="A10" s="105"/>
      <c r="B10" s="18"/>
      <c r="C10" s="18"/>
      <c r="D10" s="18"/>
      <c r="E10" s="106"/>
    </row>
    <row r="11" spans="1:5" ht="12.75">
      <c r="A11" s="105" t="s">
        <v>115</v>
      </c>
      <c r="B11" s="18"/>
      <c r="C11" s="109">
        <f>Hoja2!$E$22</f>
        <v>0</v>
      </c>
      <c r="D11" s="18" t="s">
        <v>61</v>
      </c>
      <c r="E11" s="106"/>
    </row>
    <row r="12" spans="1:5" ht="12.75">
      <c r="A12" s="105"/>
      <c r="B12" s="18"/>
      <c r="C12" s="108">
        <f>Hoja2!$G$22</f>
        <v>0</v>
      </c>
      <c r="D12" s="18" t="s">
        <v>176</v>
      </c>
      <c r="E12" s="106"/>
    </row>
    <row r="13" spans="1:5" ht="12.75">
      <c r="A13" s="105"/>
      <c r="B13" s="18"/>
      <c r="C13" s="18"/>
      <c r="D13" s="18"/>
      <c r="E13" s="106"/>
    </row>
    <row r="14" spans="1:5" ht="12.75">
      <c r="A14" s="105" t="s">
        <v>190</v>
      </c>
      <c r="B14" s="18"/>
      <c r="C14" s="18" t="s">
        <v>8</v>
      </c>
      <c r="D14" s="18"/>
      <c r="E14" s="106"/>
    </row>
    <row r="15" spans="1:5" ht="12.75">
      <c r="A15" s="105" t="s">
        <v>191</v>
      </c>
      <c r="B15" s="18"/>
      <c r="C15" s="107">
        <v>0.3965277777777778</v>
      </c>
      <c r="D15" s="18" t="s">
        <v>192</v>
      </c>
      <c r="E15" s="106"/>
    </row>
    <row r="16" spans="1:5" ht="12.75">
      <c r="A16" s="105"/>
      <c r="B16" s="18"/>
      <c r="C16" s="18"/>
      <c r="D16" s="18"/>
      <c r="E16" s="106"/>
    </row>
    <row r="17" spans="1:5" ht="12.75">
      <c r="A17" s="105"/>
      <c r="B17" s="18"/>
      <c r="C17" s="18"/>
      <c r="D17" s="18"/>
      <c r="E17" s="106"/>
    </row>
    <row r="18" spans="1:5" ht="12.75">
      <c r="A18" s="105"/>
      <c r="B18" s="18" t="s">
        <v>193</v>
      </c>
      <c r="C18" s="18"/>
      <c r="D18" s="18"/>
      <c r="E18" s="106"/>
    </row>
    <row r="19" spans="1:5" ht="13.5" thickBot="1">
      <c r="A19" s="105"/>
      <c r="B19" s="18"/>
      <c r="C19" s="18"/>
      <c r="D19" s="18"/>
      <c r="E19" s="106"/>
    </row>
    <row r="20" spans="1:5" ht="12.75">
      <c r="A20" s="103" t="s">
        <v>194</v>
      </c>
      <c r="B20" s="103"/>
      <c r="C20" s="103"/>
      <c r="D20" s="103"/>
      <c r="E20" s="103"/>
    </row>
    <row r="21" spans="1:5" ht="12.75">
      <c r="A21" s="18"/>
      <c r="B21" s="18"/>
      <c r="C21" s="18"/>
      <c r="D21" s="18"/>
      <c r="E21" s="18"/>
    </row>
    <row r="22" ht="13.5" thickBot="1"/>
    <row r="23" spans="1:5" ht="12.75">
      <c r="A23" s="101" t="s">
        <v>183</v>
      </c>
      <c r="B23" s="102">
        <v>35727</v>
      </c>
      <c r="C23" s="103"/>
      <c r="D23" s="103"/>
      <c r="E23" s="104"/>
    </row>
    <row r="24" spans="1:5" ht="12.75">
      <c r="A24" s="105"/>
      <c r="B24" s="18"/>
      <c r="C24" s="18"/>
      <c r="D24" s="18"/>
      <c r="E24" s="106"/>
    </row>
    <row r="25" spans="1:5" ht="12.75">
      <c r="A25" s="105" t="s">
        <v>184</v>
      </c>
      <c r="B25" s="18"/>
      <c r="C25" s="18"/>
      <c r="D25" s="18"/>
      <c r="E25" s="106"/>
    </row>
    <row r="26" spans="1:5" ht="12.75">
      <c r="A26" s="105"/>
      <c r="B26" s="18"/>
      <c r="C26" s="18"/>
      <c r="D26" s="18"/>
      <c r="E26" s="106"/>
    </row>
    <row r="27" spans="1:5" ht="12.75">
      <c r="A27" s="105" t="s">
        <v>185</v>
      </c>
      <c r="B27" s="18" t="s">
        <v>195</v>
      </c>
      <c r="C27" s="18"/>
      <c r="D27" s="18"/>
      <c r="E27" s="106"/>
    </row>
    <row r="28" spans="1:5" ht="12.75">
      <c r="A28" s="105"/>
      <c r="B28" s="18"/>
      <c r="C28" s="18"/>
      <c r="D28" s="18"/>
      <c r="E28" s="106"/>
    </row>
    <row r="29" spans="1:5" ht="12.75">
      <c r="A29" s="105" t="s">
        <v>187</v>
      </c>
      <c r="B29" s="18" t="s">
        <v>188</v>
      </c>
      <c r="C29" s="18"/>
      <c r="D29" s="18"/>
      <c r="E29" s="106"/>
    </row>
    <row r="30" spans="1:5" ht="12.75">
      <c r="A30" s="105"/>
      <c r="B30" s="18"/>
      <c r="C30" s="18"/>
      <c r="D30" s="18"/>
      <c r="E30" s="106"/>
    </row>
    <row r="31" spans="1:5" ht="12.75">
      <c r="A31" s="105" t="s">
        <v>196</v>
      </c>
      <c r="B31" s="18" t="str">
        <f>Hoja1!$D$8</f>
        <v>DUTCH SPEAR</v>
      </c>
      <c r="C31" s="18"/>
      <c r="D31" s="18"/>
      <c r="E31" s="106"/>
    </row>
    <row r="32" spans="1:5" ht="12.75">
      <c r="A32" s="105"/>
      <c r="B32" s="18"/>
      <c r="C32" s="18"/>
      <c r="D32" s="18"/>
      <c r="E32" s="106"/>
    </row>
    <row r="33" spans="1:5" ht="12.75">
      <c r="A33" s="105" t="s">
        <v>115</v>
      </c>
      <c r="B33" s="18"/>
      <c r="C33" s="57">
        <f>Hoja2!$E$22</f>
        <v>0</v>
      </c>
      <c r="D33" s="18" t="s">
        <v>61</v>
      </c>
      <c r="E33" s="106"/>
    </row>
    <row r="34" spans="1:5" ht="12.75">
      <c r="A34" s="105"/>
      <c r="B34" s="18"/>
      <c r="C34" s="108">
        <f>Hoja2!$G$22</f>
        <v>0</v>
      </c>
      <c r="D34" s="18" t="s">
        <v>176</v>
      </c>
      <c r="E34" s="106"/>
    </row>
    <row r="35" spans="1:5" ht="12.75">
      <c r="A35" s="105"/>
      <c r="B35" s="18"/>
      <c r="C35" s="18"/>
      <c r="D35" s="18"/>
      <c r="E35" s="106"/>
    </row>
    <row r="36" spans="1:5" ht="12.75">
      <c r="A36" s="105" t="s">
        <v>190</v>
      </c>
      <c r="B36" s="18" t="s">
        <v>197</v>
      </c>
      <c r="C36" s="18" t="s">
        <v>8</v>
      </c>
      <c r="D36" s="18"/>
      <c r="E36" s="106"/>
    </row>
    <row r="37" spans="1:5" ht="12.75">
      <c r="A37" s="105" t="s">
        <v>191</v>
      </c>
      <c r="B37" s="18"/>
      <c r="C37" s="107">
        <v>0.3965277777777778</v>
      </c>
      <c r="D37" s="18" t="s">
        <v>192</v>
      </c>
      <c r="E37" s="106"/>
    </row>
    <row r="38" spans="1:5" ht="12.75">
      <c r="A38" s="105"/>
      <c r="B38" s="18"/>
      <c r="C38" s="18"/>
      <c r="D38" s="18"/>
      <c r="E38" s="106"/>
    </row>
    <row r="39" spans="1:5" ht="12.75">
      <c r="A39" s="105"/>
      <c r="B39" s="18"/>
      <c r="C39" s="18"/>
      <c r="D39" s="18"/>
      <c r="E39" s="106"/>
    </row>
    <row r="40" spans="1:5" ht="12.75">
      <c r="A40" s="105"/>
      <c r="B40" s="18" t="s">
        <v>198</v>
      </c>
      <c r="C40" s="18"/>
      <c r="D40" s="18"/>
      <c r="E40" s="106"/>
    </row>
    <row r="41" spans="1:5" ht="13.5" thickBot="1">
      <c r="A41" s="105"/>
      <c r="B41" s="18"/>
      <c r="C41" s="18"/>
      <c r="D41" s="18"/>
      <c r="E41" s="106"/>
    </row>
    <row r="42" spans="1:5" ht="12.75">
      <c r="A42" s="103" t="s">
        <v>194</v>
      </c>
      <c r="B42" s="103"/>
      <c r="C42" s="103"/>
      <c r="D42" s="103"/>
      <c r="E42" s="103"/>
    </row>
    <row r="43" spans="1:5" ht="12.75">
      <c r="A43" s="18"/>
      <c r="B43" s="18"/>
      <c r="C43" s="18"/>
      <c r="D43" s="18"/>
      <c r="E43" s="18"/>
    </row>
  </sheetData>
  <printOptions horizontalCentered="1" verticalCentered="1"/>
  <pageMargins left="1.3779527559055118" right="0.7874015748031497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8"/>
  <sheetViews>
    <sheetView showGridLines="0" workbookViewId="0" topLeftCell="C1">
      <selection activeCell="E11" sqref="E11"/>
    </sheetView>
  </sheetViews>
  <sheetFormatPr defaultColWidth="9.33203125" defaultRowHeight="15.75" customHeight="1"/>
  <cols>
    <col min="1" max="1" width="14.83203125" style="0" customWidth="1"/>
    <col min="2" max="3" width="10.83203125" style="0" customWidth="1"/>
    <col min="4" max="4" width="9.83203125" style="0" customWidth="1"/>
    <col min="5" max="10" width="10.83203125" style="0" customWidth="1"/>
    <col min="11" max="12" width="12" style="0" customWidth="1"/>
    <col min="13" max="13" width="14.83203125" style="0" customWidth="1"/>
    <col min="14" max="16384" width="12" style="0" customWidth="1"/>
  </cols>
  <sheetData>
    <row r="1" spans="1:10" ht="15.75" customHeight="1">
      <c r="A1" s="134" t="s">
        <v>199</v>
      </c>
      <c r="B1" s="135"/>
      <c r="C1" s="135"/>
      <c r="D1" s="135"/>
      <c r="E1" s="135"/>
      <c r="F1" s="136"/>
      <c r="G1" s="135" t="s">
        <v>200</v>
      </c>
      <c r="H1" s="136"/>
      <c r="I1" s="135" t="s">
        <v>201</v>
      </c>
      <c r="J1" s="137"/>
    </row>
    <row r="2" spans="1:10" ht="15.75" customHeight="1">
      <c r="A2" s="138" t="s">
        <v>202</v>
      </c>
      <c r="B2" s="139">
        <f>Hoja1!$B$7</f>
        <v>0</v>
      </c>
      <c r="C2" s="140" t="s">
        <v>8</v>
      </c>
      <c r="D2" s="140"/>
      <c r="E2" s="140" t="s">
        <v>8</v>
      </c>
      <c r="F2" s="140"/>
      <c r="G2" s="88" t="s">
        <v>203</v>
      </c>
      <c r="H2" s="141"/>
      <c r="I2" s="142">
        <f>Hoja1!$M$7</f>
        <v>0</v>
      </c>
      <c r="J2" s="143"/>
    </row>
    <row r="3" spans="1:10" ht="15.75" customHeight="1">
      <c r="A3" s="144"/>
      <c r="B3" s="145"/>
      <c r="C3" s="88" t="s">
        <v>204</v>
      </c>
      <c r="D3" s="146">
        <v>0</v>
      </c>
      <c r="E3" s="147" t="s">
        <v>205</v>
      </c>
      <c r="F3" s="140" t="s">
        <v>8</v>
      </c>
      <c r="G3" s="88" t="s">
        <v>206</v>
      </c>
      <c r="H3" s="140"/>
      <c r="I3" s="88" t="s">
        <v>207</v>
      </c>
      <c r="J3" s="148"/>
    </row>
    <row r="4" spans="1:10" ht="15.75" customHeight="1">
      <c r="A4" s="149" t="s">
        <v>208</v>
      </c>
      <c r="B4" s="150" t="s">
        <v>209</v>
      </c>
      <c r="C4" s="145" t="s">
        <v>210</v>
      </c>
      <c r="D4" s="145"/>
      <c r="E4" s="145"/>
      <c r="F4" s="145" t="s">
        <v>8</v>
      </c>
      <c r="G4" s="145" t="s">
        <v>211</v>
      </c>
      <c r="H4" s="145"/>
      <c r="I4" s="145"/>
      <c r="J4" s="143"/>
    </row>
    <row r="5" spans="1:10" ht="15.75" customHeight="1">
      <c r="A5" s="149" t="s">
        <v>212</v>
      </c>
      <c r="B5" s="150" t="s">
        <v>213</v>
      </c>
      <c r="C5" s="150" t="s">
        <v>214</v>
      </c>
      <c r="D5" s="151" t="s">
        <v>215</v>
      </c>
      <c r="E5" s="150" t="s">
        <v>215</v>
      </c>
      <c r="F5" s="150" t="s">
        <v>216</v>
      </c>
      <c r="G5" s="150" t="s">
        <v>217</v>
      </c>
      <c r="H5" s="150" t="s">
        <v>215</v>
      </c>
      <c r="I5" s="150" t="s">
        <v>215</v>
      </c>
      <c r="J5" s="150" t="s">
        <v>216</v>
      </c>
    </row>
    <row r="6" spans="1:10" ht="15.75" customHeight="1">
      <c r="A6" s="149" t="s">
        <v>218</v>
      </c>
      <c r="B6" s="150" t="s">
        <v>219</v>
      </c>
      <c r="C6" s="150" t="s">
        <v>220</v>
      </c>
      <c r="D6" s="151" t="s">
        <v>221</v>
      </c>
      <c r="E6" s="150" t="s">
        <v>222</v>
      </c>
      <c r="F6" s="150" t="s">
        <v>223</v>
      </c>
      <c r="G6" s="150" t="s">
        <v>220</v>
      </c>
      <c r="H6" s="150" t="s">
        <v>224</v>
      </c>
      <c r="I6" s="150" t="s">
        <v>222</v>
      </c>
      <c r="J6" s="150" t="s">
        <v>223</v>
      </c>
    </row>
    <row r="7" spans="1:14" ht="18">
      <c r="A7" s="152" t="s">
        <v>225</v>
      </c>
      <c r="B7" s="153" t="s">
        <v>226</v>
      </c>
      <c r="C7" s="153" t="s">
        <v>226</v>
      </c>
      <c r="D7" s="154" t="s">
        <v>227</v>
      </c>
      <c r="E7" s="153" t="s">
        <v>228</v>
      </c>
      <c r="F7" s="153" t="s">
        <v>229</v>
      </c>
      <c r="G7" s="153" t="s">
        <v>226</v>
      </c>
      <c r="H7" s="153" t="s">
        <v>227</v>
      </c>
      <c r="I7" s="153" t="s">
        <v>228</v>
      </c>
      <c r="J7" s="153" t="s">
        <v>230</v>
      </c>
      <c r="M7" s="155" t="s">
        <v>66</v>
      </c>
      <c r="N7" s="155"/>
    </row>
    <row r="8" spans="1:14" ht="15.75" customHeight="1">
      <c r="A8" s="156" t="s">
        <v>231</v>
      </c>
      <c r="B8" s="147"/>
      <c r="C8" s="147"/>
      <c r="D8" s="147"/>
      <c r="E8" s="147"/>
      <c r="F8" s="147"/>
      <c r="G8" s="147"/>
      <c r="H8" s="147"/>
      <c r="I8" s="147"/>
      <c r="J8" s="154"/>
      <c r="M8" s="157" t="s">
        <v>232</v>
      </c>
      <c r="N8" s="157" t="s">
        <v>80</v>
      </c>
    </row>
    <row r="9" spans="1:14" ht="15.75" customHeight="1">
      <c r="A9" s="158"/>
      <c r="B9" s="159" t="s">
        <v>8</v>
      </c>
      <c r="C9" s="160">
        <v>0</v>
      </c>
      <c r="D9" s="161">
        <f>LOOKUP(1,H103:H107)</f>
        <v>0.9717506782965927</v>
      </c>
      <c r="E9" s="160">
        <v>124</v>
      </c>
      <c r="F9" s="162">
        <f>D9*E9</f>
        <v>120.49708410877749</v>
      </c>
      <c r="G9" s="163">
        <v>0</v>
      </c>
      <c r="H9" s="159">
        <v>0</v>
      </c>
      <c r="I9" s="164">
        <v>0</v>
      </c>
      <c r="J9" s="165">
        <f>H9*I9</f>
        <v>0</v>
      </c>
      <c r="M9" s="166">
        <v>40</v>
      </c>
      <c r="N9" s="166">
        <v>0.9885</v>
      </c>
    </row>
    <row r="10" spans="1:14" ht="15.75" customHeight="1">
      <c r="A10" s="167"/>
      <c r="B10" s="168"/>
      <c r="C10" s="169">
        <v>0</v>
      </c>
      <c r="D10" s="161">
        <f>LOOKUP(1,H113:H117)</f>
        <v>0.9717506782965927</v>
      </c>
      <c r="E10" s="169">
        <v>623</v>
      </c>
      <c r="F10" s="170">
        <f aca="true" t="shared" si="0" ref="F10:F17">D10*E10</f>
        <v>605.4006725787773</v>
      </c>
      <c r="G10" s="171">
        <v>0</v>
      </c>
      <c r="H10" s="168">
        <v>0</v>
      </c>
      <c r="I10" s="172">
        <v>0</v>
      </c>
      <c r="J10" s="173">
        <f aca="true" t="shared" si="1" ref="J10:J16">H10*I10</f>
        <v>0</v>
      </c>
      <c r="M10" s="166">
        <v>40</v>
      </c>
      <c r="N10" s="166">
        <v>0.9885</v>
      </c>
    </row>
    <row r="11" spans="1:14" ht="15.75" customHeight="1">
      <c r="A11" s="174"/>
      <c r="B11" s="168"/>
      <c r="C11" s="169">
        <v>0</v>
      </c>
      <c r="D11" s="161">
        <f>LOOKUP(1,H123:H127)</f>
        <v>0.9717506782965927</v>
      </c>
      <c r="E11" s="169">
        <v>264</v>
      </c>
      <c r="F11" s="170">
        <f t="shared" si="0"/>
        <v>256.54217907030045</v>
      </c>
      <c r="G11" s="171">
        <v>0</v>
      </c>
      <c r="H11" s="168">
        <v>0</v>
      </c>
      <c r="I11" s="172">
        <v>0</v>
      </c>
      <c r="J11" s="173">
        <f t="shared" si="1"/>
        <v>0</v>
      </c>
      <c r="M11" s="166">
        <v>40</v>
      </c>
      <c r="N11" s="166">
        <v>0.9885</v>
      </c>
    </row>
    <row r="12" spans="1:14" ht="15.75" customHeight="1">
      <c r="A12" s="167"/>
      <c r="B12" s="168"/>
      <c r="C12" s="169">
        <v>0</v>
      </c>
      <c r="D12" s="161" t="e">
        <f>LOOKUP(1,H133:H137)</f>
        <v>#N/A</v>
      </c>
      <c r="E12" s="169" t="s">
        <v>8</v>
      </c>
      <c r="F12" s="170" t="e">
        <f t="shared" si="0"/>
        <v>#N/A</v>
      </c>
      <c r="G12" s="171">
        <v>0</v>
      </c>
      <c r="H12" s="168">
        <v>0</v>
      </c>
      <c r="I12" s="172">
        <v>0</v>
      </c>
      <c r="J12" s="173">
        <f t="shared" si="1"/>
        <v>0</v>
      </c>
      <c r="M12" s="166"/>
      <c r="N12" s="166"/>
    </row>
    <row r="13" spans="1:14" ht="15.75" customHeight="1">
      <c r="A13" s="167"/>
      <c r="B13" s="168"/>
      <c r="C13" s="169">
        <v>0</v>
      </c>
      <c r="D13" s="161" t="e">
        <f>LOOKUP(1,H143:H147)</f>
        <v>#N/A</v>
      </c>
      <c r="E13" s="169" t="s">
        <v>8</v>
      </c>
      <c r="F13" s="170" t="e">
        <f t="shared" si="0"/>
        <v>#N/A</v>
      </c>
      <c r="G13" s="171">
        <v>0</v>
      </c>
      <c r="H13" s="168">
        <v>0</v>
      </c>
      <c r="I13" s="172">
        <v>0</v>
      </c>
      <c r="J13" s="173">
        <f t="shared" si="1"/>
        <v>0</v>
      </c>
      <c r="M13" s="166"/>
      <c r="N13" s="166"/>
    </row>
    <row r="14" spans="1:14" ht="15.75" customHeight="1">
      <c r="A14" s="167"/>
      <c r="B14" s="168"/>
      <c r="C14" s="169">
        <v>0</v>
      </c>
      <c r="D14" s="161" t="e">
        <f>LOOKUP(1,H153:H157)</f>
        <v>#N/A</v>
      </c>
      <c r="E14" s="169" t="s">
        <v>8</v>
      </c>
      <c r="F14" s="170" t="e">
        <f t="shared" si="0"/>
        <v>#N/A</v>
      </c>
      <c r="G14" s="171">
        <v>0</v>
      </c>
      <c r="H14" s="168">
        <v>0</v>
      </c>
      <c r="I14" s="172">
        <v>0</v>
      </c>
      <c r="J14" s="173">
        <f t="shared" si="1"/>
        <v>0</v>
      </c>
      <c r="M14" s="166"/>
      <c r="N14" s="166"/>
    </row>
    <row r="15" spans="1:14" ht="15.75" customHeight="1">
      <c r="A15" s="167"/>
      <c r="B15" s="168"/>
      <c r="C15" s="169"/>
      <c r="D15" s="161" t="e">
        <f>LOOKUP(1,H163:H167)</f>
        <v>#N/A</v>
      </c>
      <c r="E15" s="169" t="s">
        <v>8</v>
      </c>
      <c r="F15" s="170" t="e">
        <f t="shared" si="0"/>
        <v>#N/A</v>
      </c>
      <c r="G15" s="171"/>
      <c r="H15" s="168"/>
      <c r="I15" s="172"/>
      <c r="J15" s="173">
        <f t="shared" si="1"/>
        <v>0</v>
      </c>
      <c r="M15" s="166"/>
      <c r="N15" s="166"/>
    </row>
    <row r="16" spans="1:14" ht="15.75" customHeight="1">
      <c r="A16" s="167"/>
      <c r="B16" s="168"/>
      <c r="C16" s="169"/>
      <c r="D16" s="161" t="e">
        <f>LOOKUP(1,H173:H177)</f>
        <v>#N/A</v>
      </c>
      <c r="E16" s="169" t="s">
        <v>8</v>
      </c>
      <c r="F16" s="170" t="e">
        <f t="shared" si="0"/>
        <v>#N/A</v>
      </c>
      <c r="G16" s="171"/>
      <c r="H16" s="168"/>
      <c r="I16" s="172"/>
      <c r="J16" s="173">
        <f t="shared" si="1"/>
        <v>0</v>
      </c>
      <c r="M16" s="166" t="s">
        <v>8</v>
      </c>
      <c r="N16" s="166" t="s">
        <v>8</v>
      </c>
    </row>
    <row r="17" spans="1:14" ht="15.75">
      <c r="A17" s="158"/>
      <c r="B17" s="159"/>
      <c r="C17" s="175"/>
      <c r="D17" s="161" t="e">
        <f>LOOKUP(1,H183:H188)</f>
        <v>#N/A</v>
      </c>
      <c r="E17" s="175" t="s">
        <v>8</v>
      </c>
      <c r="F17" s="170" t="e">
        <f t="shared" si="0"/>
        <v>#N/A</v>
      </c>
      <c r="G17" s="159"/>
      <c r="H17" s="159"/>
      <c r="I17" s="175"/>
      <c r="J17" s="162"/>
      <c r="M17" s="166" t="s">
        <v>8</v>
      </c>
      <c r="N17" s="166" t="s">
        <v>233</v>
      </c>
    </row>
    <row r="18" spans="1:14" ht="15.75" customHeight="1">
      <c r="A18" s="156" t="s">
        <v>234</v>
      </c>
      <c r="B18" s="147"/>
      <c r="C18" s="147"/>
      <c r="D18" s="147"/>
      <c r="E18" s="176">
        <f>SUM(E9:E16)</f>
        <v>1011</v>
      </c>
      <c r="F18" s="162" t="e">
        <f>SUM(F9:F17)</f>
        <v>#N/A</v>
      </c>
      <c r="G18" s="147"/>
      <c r="H18" s="147"/>
      <c r="I18" s="177">
        <f>SUM(I9:I16)</f>
        <v>0</v>
      </c>
      <c r="J18" s="178">
        <f>SUM(J9:J16)</f>
        <v>0</v>
      </c>
      <c r="M18" s="155" t="s">
        <v>67</v>
      </c>
      <c r="N18" s="155"/>
    </row>
    <row r="19" spans="1:14" ht="15.75" customHeight="1">
      <c r="A19" s="138" t="s">
        <v>235</v>
      </c>
      <c r="B19" s="176"/>
      <c r="C19" s="176" t="s">
        <v>8</v>
      </c>
      <c r="D19" s="176" t="s">
        <v>8</v>
      </c>
      <c r="E19" s="176" t="s">
        <v>8</v>
      </c>
      <c r="F19" s="176" t="s">
        <v>8</v>
      </c>
      <c r="G19" s="176" t="s">
        <v>8</v>
      </c>
      <c r="H19" s="176" t="s">
        <v>8</v>
      </c>
      <c r="I19" s="176"/>
      <c r="J19" s="154"/>
      <c r="M19" s="157" t="s">
        <v>232</v>
      </c>
      <c r="N19" s="157" t="s">
        <v>80</v>
      </c>
    </row>
    <row r="20" spans="1:14" ht="15.75" customHeight="1">
      <c r="A20" s="174"/>
      <c r="B20" s="168"/>
      <c r="C20" s="171">
        <v>0</v>
      </c>
      <c r="D20" s="161">
        <f>LOOKUP(1,H103:H107)</f>
        <v>0.9717506782965927</v>
      </c>
      <c r="E20" s="172">
        <v>124</v>
      </c>
      <c r="F20" s="177">
        <f>D20*E20</f>
        <v>120.49708410877749</v>
      </c>
      <c r="G20" s="168">
        <v>0</v>
      </c>
      <c r="H20" s="171">
        <v>0</v>
      </c>
      <c r="I20" s="179">
        <v>0</v>
      </c>
      <c r="J20" s="173">
        <f>H20*I20</f>
        <v>0</v>
      </c>
      <c r="M20" s="166">
        <v>40</v>
      </c>
      <c r="N20" s="166">
        <v>0.9885</v>
      </c>
    </row>
    <row r="21" spans="1:14" ht="15.75" customHeight="1">
      <c r="A21" s="174"/>
      <c r="B21" s="168"/>
      <c r="C21" s="171">
        <v>0</v>
      </c>
      <c r="D21" s="161">
        <f>LOOKUP(1,H113:H117)</f>
        <v>0.9717506782965927</v>
      </c>
      <c r="E21" s="172">
        <v>623</v>
      </c>
      <c r="F21" s="177">
        <f aca="true" t="shared" si="2" ref="F21:F26">D21*E21</f>
        <v>605.4006725787773</v>
      </c>
      <c r="G21" s="168">
        <v>0</v>
      </c>
      <c r="H21" s="171">
        <v>0</v>
      </c>
      <c r="I21" s="179">
        <v>0</v>
      </c>
      <c r="J21" s="173">
        <f aca="true" t="shared" si="3" ref="J21:J26">H21*I21</f>
        <v>0</v>
      </c>
      <c r="M21" s="166">
        <v>40</v>
      </c>
      <c r="N21" s="166">
        <v>0.9885</v>
      </c>
    </row>
    <row r="22" spans="1:14" ht="15.75" customHeight="1">
      <c r="A22" s="174"/>
      <c r="B22" s="168"/>
      <c r="C22" s="171">
        <v>0</v>
      </c>
      <c r="D22" s="161">
        <f>LOOKUP(1,H123:H127)</f>
        <v>0.9717506782965927</v>
      </c>
      <c r="E22" s="172">
        <v>264</v>
      </c>
      <c r="F22" s="177">
        <f t="shared" si="2"/>
        <v>256.54217907030045</v>
      </c>
      <c r="G22" s="168">
        <v>0</v>
      </c>
      <c r="H22" s="171">
        <v>0</v>
      </c>
      <c r="I22" s="179">
        <v>0</v>
      </c>
      <c r="J22" s="173">
        <f t="shared" si="3"/>
        <v>0</v>
      </c>
      <c r="M22" s="166">
        <v>40</v>
      </c>
      <c r="N22" s="166">
        <v>0.9885</v>
      </c>
    </row>
    <row r="23" spans="1:14" ht="15.75" customHeight="1">
      <c r="A23" s="174"/>
      <c r="B23" s="168"/>
      <c r="C23" s="171">
        <v>0</v>
      </c>
      <c r="D23" s="161" t="e">
        <f>LOOKUP(1,H133:H137)</f>
        <v>#N/A</v>
      </c>
      <c r="E23" s="172">
        <v>0</v>
      </c>
      <c r="F23" s="177" t="e">
        <f t="shared" si="2"/>
        <v>#N/A</v>
      </c>
      <c r="G23" s="168">
        <v>0</v>
      </c>
      <c r="H23" s="171">
        <v>0</v>
      </c>
      <c r="I23" s="179">
        <v>0</v>
      </c>
      <c r="J23" s="173">
        <f t="shared" si="3"/>
        <v>0</v>
      </c>
      <c r="M23" s="166">
        <v>28</v>
      </c>
      <c r="N23" s="166">
        <v>0.88</v>
      </c>
    </row>
    <row r="24" spans="1:14" ht="15.75" customHeight="1">
      <c r="A24" s="174"/>
      <c r="B24" s="168"/>
      <c r="C24" s="171"/>
      <c r="D24" s="161" t="e">
        <f>LOOKUP(1,H143:H147)</f>
        <v>#N/A</v>
      </c>
      <c r="E24" s="172">
        <v>0</v>
      </c>
      <c r="F24" s="177" t="e">
        <f t="shared" si="2"/>
        <v>#N/A</v>
      </c>
      <c r="G24" s="168"/>
      <c r="H24" s="171"/>
      <c r="I24" s="179"/>
      <c r="J24" s="173">
        <f t="shared" si="3"/>
        <v>0</v>
      </c>
      <c r="M24" s="166">
        <v>30</v>
      </c>
      <c r="N24" s="166">
        <v>0.98</v>
      </c>
    </row>
    <row r="25" spans="1:14" ht="15.75" customHeight="1">
      <c r="A25" s="174"/>
      <c r="B25" s="168"/>
      <c r="C25" s="171"/>
      <c r="D25" s="161" t="e">
        <f>LOOKUP(1,H153:H157)</f>
        <v>#N/A</v>
      </c>
      <c r="E25" s="172">
        <v>0</v>
      </c>
      <c r="F25" s="177" t="e">
        <f t="shared" si="2"/>
        <v>#N/A</v>
      </c>
      <c r="G25" s="168"/>
      <c r="H25" s="171"/>
      <c r="I25" s="179"/>
      <c r="J25" s="173">
        <f t="shared" si="3"/>
        <v>0</v>
      </c>
      <c r="M25" s="166">
        <v>28</v>
      </c>
      <c r="N25" s="166">
        <v>0.88</v>
      </c>
    </row>
    <row r="26" spans="1:14" ht="15.75" customHeight="1">
      <c r="A26" s="174"/>
      <c r="B26" s="168"/>
      <c r="C26" s="171"/>
      <c r="D26" s="161" t="e">
        <f>LOOKUP(1,H163:H167)</f>
        <v>#N/A</v>
      </c>
      <c r="E26" s="172">
        <v>0</v>
      </c>
      <c r="F26" s="162" t="e">
        <f t="shared" si="2"/>
        <v>#N/A</v>
      </c>
      <c r="G26" s="168"/>
      <c r="H26" s="171"/>
      <c r="I26" s="179"/>
      <c r="J26" s="162">
        <f t="shared" si="3"/>
        <v>0</v>
      </c>
      <c r="M26" s="166">
        <v>30</v>
      </c>
      <c r="N26" s="166">
        <v>0.98</v>
      </c>
    </row>
    <row r="27" spans="1:10" ht="15.75" customHeight="1">
      <c r="A27" s="156" t="s">
        <v>236</v>
      </c>
      <c r="B27" s="147"/>
      <c r="C27" s="147"/>
      <c r="D27" s="147"/>
      <c r="E27" s="176">
        <f>SUM(E20:E26)</f>
        <v>1011</v>
      </c>
      <c r="F27" s="177" t="e">
        <f>SUM(F20:F26)</f>
        <v>#N/A</v>
      </c>
      <c r="G27" s="147"/>
      <c r="H27" s="147"/>
      <c r="I27" s="176">
        <f>SUM(I20:I26)</f>
        <v>0</v>
      </c>
      <c r="J27" s="173">
        <f>SUM(J20:J26)</f>
        <v>0</v>
      </c>
    </row>
    <row r="28" spans="1:10" ht="15.75" customHeight="1">
      <c r="A28" s="156"/>
      <c r="B28" s="147"/>
      <c r="C28" s="147"/>
      <c r="D28" s="147" t="s">
        <v>237</v>
      </c>
      <c r="E28" s="147"/>
      <c r="F28" s="147"/>
      <c r="G28" s="147"/>
      <c r="H28" s="147"/>
      <c r="I28" s="147"/>
      <c r="J28" s="154"/>
    </row>
    <row r="29" spans="1:10" ht="15.75" customHeight="1">
      <c r="A29" s="180"/>
      <c r="B29" s="181"/>
      <c r="C29" s="181"/>
      <c r="D29" s="181"/>
      <c r="E29" s="181" t="s">
        <v>238</v>
      </c>
      <c r="F29" s="181"/>
      <c r="G29" s="181"/>
      <c r="H29" s="181" t="s">
        <v>239</v>
      </c>
      <c r="I29" s="181"/>
      <c r="J29" s="151"/>
    </row>
    <row r="30" spans="1:10" ht="15.75" customHeight="1">
      <c r="A30" s="156"/>
      <c r="B30" s="147"/>
      <c r="C30" s="147"/>
      <c r="D30" s="147"/>
      <c r="E30" s="147" t="s">
        <v>240</v>
      </c>
      <c r="F30" s="147"/>
      <c r="G30" s="147"/>
      <c r="H30" s="147" t="s">
        <v>241</v>
      </c>
      <c r="I30" s="147"/>
      <c r="J30" s="154"/>
    </row>
    <row r="31" spans="1:10" ht="15.75" customHeight="1">
      <c r="A31" s="180" t="s">
        <v>242</v>
      </c>
      <c r="B31" s="181"/>
      <c r="C31" s="151"/>
      <c r="D31" s="147"/>
      <c r="E31" s="182">
        <f>Hoja4!$L$34</f>
        <v>0</v>
      </c>
      <c r="F31" s="183"/>
      <c r="G31" s="142"/>
      <c r="H31" s="182">
        <f>Hoja5!$K$34</f>
        <v>0</v>
      </c>
      <c r="I31" s="147"/>
      <c r="J31" s="172" t="s">
        <v>8</v>
      </c>
    </row>
    <row r="32" spans="1:10" ht="15.75" customHeight="1">
      <c r="A32" s="180" t="s">
        <v>243</v>
      </c>
      <c r="B32" s="181"/>
      <c r="C32" s="151"/>
      <c r="D32" s="147"/>
      <c r="E32" s="182">
        <f>Hoja4!$L$40</f>
        <v>0</v>
      </c>
      <c r="F32" s="183"/>
      <c r="G32" s="142"/>
      <c r="H32" s="182">
        <f>Hoja5!$K$40</f>
        <v>0</v>
      </c>
      <c r="I32" s="147"/>
      <c r="J32" s="154"/>
    </row>
    <row r="33" spans="1:10" ht="15.75" customHeight="1">
      <c r="A33" s="180" t="s">
        <v>244</v>
      </c>
      <c r="B33" s="181"/>
      <c r="C33" s="151"/>
      <c r="D33" s="147"/>
      <c r="E33" s="182" t="e">
        <f>F18</f>
        <v>#N/A</v>
      </c>
      <c r="F33" s="183"/>
      <c r="G33" s="142"/>
      <c r="H33" s="182">
        <f>J18</f>
        <v>0</v>
      </c>
      <c r="I33" s="147"/>
      <c r="J33" s="154"/>
    </row>
    <row r="34" spans="1:10" ht="15.75" customHeight="1">
      <c r="A34" s="180" t="s">
        <v>245</v>
      </c>
      <c r="B34" s="181"/>
      <c r="C34" s="151"/>
      <c r="D34" s="147"/>
      <c r="E34" s="182" t="e">
        <f>F27</f>
        <v>#N/A</v>
      </c>
      <c r="F34" s="183"/>
      <c r="G34" s="142"/>
      <c r="H34" s="182">
        <f>J27</f>
        <v>0</v>
      </c>
      <c r="I34" s="147"/>
      <c r="J34" s="154"/>
    </row>
    <row r="35" spans="1:10" ht="15.75" customHeight="1">
      <c r="A35" s="180" t="s">
        <v>162</v>
      </c>
      <c r="B35" s="181"/>
      <c r="C35" s="151"/>
      <c r="D35" s="147"/>
      <c r="E35" s="169">
        <v>0</v>
      </c>
      <c r="F35" s="184"/>
      <c r="G35" s="185"/>
      <c r="H35" s="169">
        <v>0</v>
      </c>
      <c r="I35" s="147"/>
      <c r="J35" s="154"/>
    </row>
    <row r="36" spans="1:10" ht="15.75" customHeight="1">
      <c r="A36" s="180" t="s">
        <v>246</v>
      </c>
      <c r="B36" s="181"/>
      <c r="C36" s="151"/>
      <c r="D36" s="147"/>
      <c r="E36" s="169">
        <v>0</v>
      </c>
      <c r="F36" s="184"/>
      <c r="G36" s="185"/>
      <c r="H36" s="169">
        <v>0</v>
      </c>
      <c r="I36" s="147"/>
      <c r="J36" s="154"/>
    </row>
    <row r="37" spans="1:10" ht="15.75" customHeight="1">
      <c r="A37" s="180" t="s">
        <v>247</v>
      </c>
      <c r="B37" s="181"/>
      <c r="C37" s="151"/>
      <c r="D37" s="147"/>
      <c r="E37" s="169">
        <v>0</v>
      </c>
      <c r="F37" s="184"/>
      <c r="G37" s="185"/>
      <c r="H37" s="169">
        <v>0</v>
      </c>
      <c r="I37" s="147"/>
      <c r="J37" s="154"/>
    </row>
    <row r="38" spans="1:10" ht="15.75" customHeight="1">
      <c r="A38" s="180" t="s">
        <v>248</v>
      </c>
      <c r="B38" s="181"/>
      <c r="C38" s="151"/>
      <c r="D38" s="147"/>
      <c r="E38" s="169">
        <v>0</v>
      </c>
      <c r="F38" s="184"/>
      <c r="G38" s="185"/>
      <c r="H38" s="169">
        <v>0</v>
      </c>
      <c r="I38" s="147"/>
      <c r="J38" s="154"/>
    </row>
    <row r="39" spans="1:10" ht="15.75" customHeight="1">
      <c r="A39" s="156" t="s">
        <v>249</v>
      </c>
      <c r="B39" s="147"/>
      <c r="C39" s="154"/>
      <c r="D39" s="147"/>
      <c r="E39" s="169">
        <v>0</v>
      </c>
      <c r="F39" s="184"/>
      <c r="G39" s="185"/>
      <c r="H39" s="169">
        <v>0</v>
      </c>
      <c r="I39" s="147"/>
      <c r="J39" s="154"/>
    </row>
    <row r="40" spans="1:10" ht="15.75">
      <c r="A40" s="156" t="s">
        <v>250</v>
      </c>
      <c r="B40" s="147"/>
      <c r="C40" s="154"/>
      <c r="D40" s="147"/>
      <c r="E40" s="182" t="e">
        <f>SUM(E31:E39)</f>
        <v>#N/A</v>
      </c>
      <c r="F40" s="183"/>
      <c r="G40" s="142"/>
      <c r="H40" s="182">
        <f>SUM(H31:H39)</f>
        <v>0</v>
      </c>
      <c r="I40" s="147"/>
      <c r="J40" s="154"/>
    </row>
    <row r="41" spans="1:10" ht="12.75">
      <c r="A41" s="91" t="s">
        <v>251</v>
      </c>
      <c r="B41" s="45"/>
      <c r="C41" s="45"/>
      <c r="D41" s="58"/>
      <c r="E41" s="58"/>
      <c r="F41" s="58"/>
      <c r="G41" s="58"/>
      <c r="H41" s="58" t="s">
        <v>8</v>
      </c>
      <c r="I41" s="58"/>
      <c r="J41" s="58"/>
    </row>
    <row r="42" ht="12.75"/>
    <row r="43" ht="12.75">
      <c r="F43" t="s">
        <v>8</v>
      </c>
    </row>
    <row r="44" ht="12.75"/>
    <row r="45" ht="12.75"/>
    <row r="46" ht="12.75"/>
    <row r="47" ht="12.75"/>
    <row r="48" ht="12.75"/>
    <row r="49" ht="12.75"/>
    <row r="50" ht="12.75"/>
    <row r="51" ht="12.75"/>
    <row r="52" spans="1:6" ht="12.75">
      <c r="A52" s="186"/>
      <c r="B52" s="186"/>
      <c r="C52" s="186"/>
      <c r="D52" s="186"/>
      <c r="E52" s="186"/>
      <c r="F52" s="186"/>
    </row>
    <row r="53" spans="1:6" ht="12.75">
      <c r="A53" s="186"/>
      <c r="B53" s="186"/>
      <c r="C53" s="186"/>
      <c r="D53" s="186"/>
      <c r="E53" s="186"/>
      <c r="F53" s="186"/>
    </row>
    <row r="54" spans="1:6" ht="12.75">
      <c r="A54" s="186"/>
      <c r="B54" s="186"/>
      <c r="C54" s="186"/>
      <c r="D54" s="186"/>
      <c r="E54" s="186"/>
      <c r="F54" s="186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spans="1:17" ht="18">
      <c r="A99" s="187" t="s">
        <v>252</v>
      </c>
      <c r="B99" s="188"/>
      <c r="C99" s="188"/>
      <c r="D99" s="188"/>
      <c r="E99" s="188"/>
      <c r="F99" s="188"/>
      <c r="G99" s="188"/>
      <c r="H99" s="188"/>
      <c r="J99" s="187" t="s">
        <v>253</v>
      </c>
      <c r="K99" s="187"/>
      <c r="L99" s="187"/>
      <c r="M99" s="187"/>
      <c r="N99" s="187"/>
      <c r="O99" s="187"/>
      <c r="P99" s="187"/>
      <c r="Q99" s="187"/>
    </row>
    <row r="100" spans="1:10" ht="12.75">
      <c r="A100" s="166">
        <v>1</v>
      </c>
      <c r="J100" s="166">
        <v>1</v>
      </c>
    </row>
    <row r="101" spans="1:17" ht="12.75">
      <c r="A101" s="189" t="s">
        <v>80</v>
      </c>
      <c r="B101" s="189">
        <f>N9</f>
        <v>0.9885</v>
      </c>
      <c r="C101" s="189"/>
      <c r="D101" s="189"/>
      <c r="E101" s="189"/>
      <c r="F101" s="190" t="s">
        <v>8</v>
      </c>
      <c r="G101" s="189" t="s">
        <v>254</v>
      </c>
      <c r="H101" s="189" t="s">
        <v>80</v>
      </c>
      <c r="J101" s="189" t="s">
        <v>80</v>
      </c>
      <c r="K101" s="189">
        <f>N20</f>
        <v>0.9885</v>
      </c>
      <c r="L101" s="189"/>
      <c r="M101" s="189"/>
      <c r="N101" s="189"/>
      <c r="O101" s="190" t="s">
        <v>8</v>
      </c>
      <c r="P101" s="189" t="s">
        <v>254</v>
      </c>
      <c r="Q101" s="189" t="s">
        <v>80</v>
      </c>
    </row>
    <row r="102" spans="1:17" ht="12.75">
      <c r="A102" s="189" t="s">
        <v>255</v>
      </c>
      <c r="B102" s="189">
        <f>M9</f>
        <v>40</v>
      </c>
      <c r="C102" s="189">
        <f>B102-15</f>
        <v>25</v>
      </c>
      <c r="D102" s="189"/>
      <c r="E102" s="189"/>
      <c r="F102" s="189"/>
      <c r="G102" s="189"/>
      <c r="H102" s="189" t="s">
        <v>256</v>
      </c>
      <c r="J102" s="189" t="s">
        <v>255</v>
      </c>
      <c r="K102" s="189">
        <f>M20</f>
        <v>40</v>
      </c>
      <c r="L102" s="189">
        <f>K102-15</f>
        <v>25</v>
      </c>
      <c r="M102" s="189"/>
      <c r="N102" s="189"/>
      <c r="O102" s="189"/>
      <c r="P102" s="189"/>
      <c r="Q102" s="189" t="s">
        <v>256</v>
      </c>
    </row>
    <row r="103" spans="1:17" ht="12.75">
      <c r="A103" s="189">
        <f>IF(B101&gt;0.8785,D103)</f>
        <v>186.9696</v>
      </c>
      <c r="B103" s="189"/>
      <c r="C103" s="189"/>
      <c r="D103" s="189">
        <v>186.9696</v>
      </c>
      <c r="E103" s="189">
        <v>0.4862</v>
      </c>
      <c r="F103" s="189">
        <f>(A103/(1000*B101*1000*B101))+A104/(1000*B101)</f>
        <v>0.00068320158299964</v>
      </c>
      <c r="G103" s="189">
        <f>EXP(-F103*C102*(1+0.8*F103))</f>
        <v>0.9830558202292288</v>
      </c>
      <c r="H103" s="189">
        <f>B101*G103</f>
        <v>0.9717506782965927</v>
      </c>
      <c r="J103" s="189">
        <f>IF(K101&gt;0.8785,M103)</f>
        <v>186.9696</v>
      </c>
      <c r="K103" s="189"/>
      <c r="L103" s="189"/>
      <c r="M103" s="189">
        <v>186.9696</v>
      </c>
      <c r="N103" s="189">
        <v>0.4862</v>
      </c>
      <c r="O103" s="189">
        <f>(J103/(1000*K101*1000*K101))+J104/(1000*K101)</f>
        <v>0.00068320158299964</v>
      </c>
      <c r="P103" s="189">
        <f>EXP(-O103*L102*(1+0.8*O103))</f>
        <v>0.9830558202292288</v>
      </c>
      <c r="Q103" s="189">
        <f>K101*P103</f>
        <v>0.9717506782965927</v>
      </c>
    </row>
    <row r="104" spans="1:17" ht="12.75">
      <c r="A104" s="189">
        <f>IF(B101&gt;0.8785,E103)</f>
        <v>0.4862</v>
      </c>
      <c r="B104" s="189"/>
      <c r="C104" s="189"/>
      <c r="D104" s="189"/>
      <c r="E104" s="189"/>
      <c r="F104" s="189"/>
      <c r="G104" s="189"/>
      <c r="H104" s="189"/>
      <c r="J104" s="189">
        <f>IF(K101&gt;0.8785,N103)</f>
        <v>0.4862</v>
      </c>
      <c r="K104" s="189"/>
      <c r="L104" s="189"/>
      <c r="M104" s="189"/>
      <c r="N104" s="189"/>
      <c r="O104" s="189"/>
      <c r="P104" s="189"/>
      <c r="Q104" s="189"/>
    </row>
    <row r="105" spans="1:17" ht="12.75">
      <c r="A105" s="189" t="e">
        <f>IF(B101&gt;0.7875,D105:IF(B101&lt;0.8785,D105))</f>
        <v>#VALUE!</v>
      </c>
      <c r="B105" s="189"/>
      <c r="C105" s="189"/>
      <c r="D105" s="189">
        <v>594.5418</v>
      </c>
      <c r="E105" s="189">
        <v>0.0131</v>
      </c>
      <c r="F105" s="189" t="e">
        <f>(A105/(1000*B101*1000*B101))+A106/(1000*B101)</f>
        <v>#VALUE!</v>
      </c>
      <c r="G105" s="189" t="e">
        <f>EXP(-F105*C102*(1+0.8*F105))</f>
        <v>#VALUE!</v>
      </c>
      <c r="H105" s="189" t="e">
        <f>B101*G105</f>
        <v>#VALUE!</v>
      </c>
      <c r="J105" s="189" t="e">
        <f>IF(K101&gt;0.7875,M105:IF(K101&lt;0.8785,M105))</f>
        <v>#VALUE!</v>
      </c>
      <c r="K105" s="189"/>
      <c r="L105" s="189"/>
      <c r="M105" s="189">
        <v>594.5418</v>
      </c>
      <c r="N105" s="189">
        <v>0.0131</v>
      </c>
      <c r="O105" s="189" t="e">
        <f>(J105/(1000*K101*1000*K101))+J106/(1000*K101)</f>
        <v>#VALUE!</v>
      </c>
      <c r="P105" s="189" t="e">
        <f>EXP(-O105*L102*(1+0.8*O105))</f>
        <v>#VALUE!</v>
      </c>
      <c r="Q105" s="189" t="e">
        <f>K101*P105</f>
        <v>#VALUE!</v>
      </c>
    </row>
    <row r="106" spans="1:17" ht="12.75">
      <c r="A106" s="189" t="e">
        <f>IF(B101&gt;0.7875,E105:IF(B101&lt;0.8785,E105))</f>
        <v>#VALUE!</v>
      </c>
      <c r="B106" s="189"/>
      <c r="C106" s="189"/>
      <c r="D106" s="189"/>
      <c r="E106" s="189"/>
      <c r="F106" s="189"/>
      <c r="G106" s="189"/>
      <c r="H106" s="189"/>
      <c r="J106" s="189" t="e">
        <f>IF(K101&gt;0.7875,N105:IF(K101&lt;0.8785,N105))</f>
        <v>#VALUE!</v>
      </c>
      <c r="K106" s="189"/>
      <c r="L106" s="189"/>
      <c r="M106" s="189"/>
      <c r="N106" s="189"/>
      <c r="O106" s="189"/>
      <c r="P106" s="189"/>
      <c r="Q106" s="189"/>
    </row>
    <row r="107" spans="1:17" ht="12.75">
      <c r="A107" s="189" t="e">
        <f>IF(B101&gt;0.7705,D107:IF(B101&lt;0.7875,D107))</f>
        <v>#VALUE!</v>
      </c>
      <c r="B107" s="189"/>
      <c r="C107" s="189"/>
      <c r="D107" s="189">
        <v>2680.3206</v>
      </c>
      <c r="E107" s="189">
        <v>0.00336312</v>
      </c>
      <c r="F107" s="189" t="e">
        <f>(A107/(1000*B101*1000*B101))+A108/(1000*B101)</f>
        <v>#VALUE!</v>
      </c>
      <c r="G107" s="189" t="e">
        <f>EXP(-F107*C102*(1+0.8*F107))</f>
        <v>#VALUE!</v>
      </c>
      <c r="H107" s="189" t="e">
        <f>B101*G107</f>
        <v>#VALUE!</v>
      </c>
      <c r="J107" s="189" t="e">
        <f>IF(K101&gt;0.7705,M107:IF(K101&lt;0.7875,M107))</f>
        <v>#VALUE!</v>
      </c>
      <c r="K107" s="189"/>
      <c r="L107" s="189"/>
      <c r="M107" s="189">
        <v>2680.3206</v>
      </c>
      <c r="N107" s="189">
        <v>0.00336312</v>
      </c>
      <c r="O107" s="189" t="e">
        <f>(J107/(1000*K101*1000*K101))+J108/(1000*K101)</f>
        <v>#VALUE!</v>
      </c>
      <c r="P107" s="189" t="e">
        <f>EXP(-O107*L102*(1+0.8*O107))</f>
        <v>#VALUE!</v>
      </c>
      <c r="Q107" s="189" t="e">
        <f>K101*P107</f>
        <v>#VALUE!</v>
      </c>
    </row>
    <row r="108" spans="1:17" ht="12.75">
      <c r="A108" s="189" t="e">
        <f>IF(B101&gt;0.7705,E107:IF(B101&lt;0.7875,E107))</f>
        <v>#VALUE!</v>
      </c>
      <c r="B108" s="189"/>
      <c r="C108" s="189"/>
      <c r="D108" s="189"/>
      <c r="E108" s="189"/>
      <c r="F108" s="189"/>
      <c r="G108" s="191"/>
      <c r="H108" s="191"/>
      <c r="J108" s="189" t="e">
        <f>IF(K101&gt;0.7705,N107:IF(K101&lt;0.7875,N107))</f>
        <v>#VALUE!</v>
      </c>
      <c r="K108" s="189"/>
      <c r="L108" s="189"/>
      <c r="M108" s="189"/>
      <c r="N108" s="189"/>
      <c r="O108" s="189"/>
      <c r="P108" s="191"/>
      <c r="Q108" s="191"/>
    </row>
    <row r="109" ht="12.75"/>
    <row r="110" spans="1:10" ht="12.75">
      <c r="A110" s="166">
        <v>2</v>
      </c>
      <c r="J110" s="166">
        <v>2</v>
      </c>
    </row>
    <row r="111" spans="1:17" ht="12.75">
      <c r="A111" s="189" t="s">
        <v>80</v>
      </c>
      <c r="B111" s="189">
        <f>N10</f>
        <v>0.9885</v>
      </c>
      <c r="C111" s="189"/>
      <c r="D111" s="189"/>
      <c r="E111" s="189"/>
      <c r="F111" s="190" t="s">
        <v>8</v>
      </c>
      <c r="G111" s="189" t="s">
        <v>254</v>
      </c>
      <c r="H111" s="189" t="s">
        <v>80</v>
      </c>
      <c r="J111" s="189" t="s">
        <v>80</v>
      </c>
      <c r="K111" s="189">
        <f>N21</f>
        <v>0.9885</v>
      </c>
      <c r="L111" s="189"/>
      <c r="M111" s="189"/>
      <c r="N111" s="189"/>
      <c r="O111" s="190" t="s">
        <v>8</v>
      </c>
      <c r="P111" s="189" t="s">
        <v>254</v>
      </c>
      <c r="Q111" s="189" t="s">
        <v>80</v>
      </c>
    </row>
    <row r="112" spans="1:17" ht="12.75">
      <c r="A112" s="189" t="s">
        <v>255</v>
      </c>
      <c r="B112" s="189">
        <f>M10</f>
        <v>40</v>
      </c>
      <c r="C112" s="189">
        <f>B112-15</f>
        <v>25</v>
      </c>
      <c r="D112" s="189"/>
      <c r="E112" s="189"/>
      <c r="F112" s="189"/>
      <c r="G112" s="189"/>
      <c r="H112" s="189" t="s">
        <v>256</v>
      </c>
      <c r="J112" s="189" t="s">
        <v>255</v>
      </c>
      <c r="K112" s="189">
        <f>M21</f>
        <v>40</v>
      </c>
      <c r="L112" s="189">
        <f>K112-15</f>
        <v>25</v>
      </c>
      <c r="M112" s="189"/>
      <c r="N112" s="189"/>
      <c r="O112" s="189"/>
      <c r="P112" s="189"/>
      <c r="Q112" s="189" t="s">
        <v>256</v>
      </c>
    </row>
    <row r="113" spans="1:17" ht="12.75">
      <c r="A113" s="189">
        <f>IF(B111&gt;0.8785,D113)</f>
        <v>186.9696</v>
      </c>
      <c r="B113" s="189"/>
      <c r="C113" s="189"/>
      <c r="D113" s="189">
        <v>186.9696</v>
      </c>
      <c r="E113" s="189">
        <v>0.4862</v>
      </c>
      <c r="F113" s="189">
        <f>(A113/(1000*B111*1000*B111))+A114/(1000*B111)</f>
        <v>0.00068320158299964</v>
      </c>
      <c r="G113" s="189">
        <f>EXP(-F113*C112*(1+0.8*F113))</f>
        <v>0.9830558202292288</v>
      </c>
      <c r="H113" s="189">
        <f>B111*G113</f>
        <v>0.9717506782965927</v>
      </c>
      <c r="J113" s="189">
        <f>IF(K111&gt;0.8785,M113)</f>
        <v>186.9696</v>
      </c>
      <c r="K113" s="189"/>
      <c r="L113" s="189"/>
      <c r="M113" s="189">
        <v>186.9696</v>
      </c>
      <c r="N113" s="189">
        <v>0.4862</v>
      </c>
      <c r="O113" s="189">
        <f>(J113/(1000*K111*1000*K111))+J114/(1000*K111)</f>
        <v>0.00068320158299964</v>
      </c>
      <c r="P113" s="189">
        <f>EXP(-O113*L112*(1+0.8*O113))</f>
        <v>0.9830558202292288</v>
      </c>
      <c r="Q113" s="189">
        <f>K111*P113</f>
        <v>0.9717506782965927</v>
      </c>
    </row>
    <row r="114" spans="1:17" ht="12.75">
      <c r="A114" s="189">
        <f>IF(B111&gt;0.8785,E113)</f>
        <v>0.4862</v>
      </c>
      <c r="B114" s="189"/>
      <c r="C114" s="189"/>
      <c r="D114" s="189"/>
      <c r="E114" s="189"/>
      <c r="F114" s="189"/>
      <c r="G114" s="189"/>
      <c r="H114" s="189"/>
      <c r="J114" s="189">
        <f>IF(K111&gt;0.8785,N113)</f>
        <v>0.4862</v>
      </c>
      <c r="K114" s="189"/>
      <c r="L114" s="189"/>
      <c r="M114" s="189"/>
      <c r="N114" s="189"/>
      <c r="O114" s="189"/>
      <c r="P114" s="189"/>
      <c r="Q114" s="189"/>
    </row>
    <row r="115" spans="1:17" ht="12.75">
      <c r="A115" s="189" t="e">
        <f>IF(B111&gt;0.7875,D115:IF(B111&lt;0.8785,D115))</f>
        <v>#VALUE!</v>
      </c>
      <c r="B115" s="189"/>
      <c r="C115" s="189"/>
      <c r="D115" s="189">
        <v>594.5418</v>
      </c>
      <c r="E115" s="189">
        <v>0.0131</v>
      </c>
      <c r="F115" s="189" t="e">
        <f>(A115/(1000*B111*1000*B111))+A116/(1000*B111)</f>
        <v>#VALUE!</v>
      </c>
      <c r="G115" s="189" t="e">
        <f>EXP(-F115*C112*(1+0.8*F115))</f>
        <v>#VALUE!</v>
      </c>
      <c r="H115" s="189" t="e">
        <f>B111*G115</f>
        <v>#VALUE!</v>
      </c>
      <c r="J115" s="189" t="e">
        <f>IF(K111&gt;0.7875,M115:IF(K111&lt;0.8785,M115))</f>
        <v>#VALUE!</v>
      </c>
      <c r="K115" s="189"/>
      <c r="L115" s="189"/>
      <c r="M115" s="189">
        <v>594.5418</v>
      </c>
      <c r="N115" s="189">
        <v>0.0131</v>
      </c>
      <c r="O115" s="189" t="e">
        <f>(J115/(1000*K111*1000*K111))+J116/(1000*K111)</f>
        <v>#VALUE!</v>
      </c>
      <c r="P115" s="189" t="e">
        <f>EXP(-O115*L112*(1+0.8*O115))</f>
        <v>#VALUE!</v>
      </c>
      <c r="Q115" s="189" t="e">
        <f>K111*P115</f>
        <v>#VALUE!</v>
      </c>
    </row>
    <row r="116" spans="1:17" ht="12.75">
      <c r="A116" s="189" t="e">
        <f>IF(B111&gt;0.7875,E115:IF(B111&lt;0.8785,E115))</f>
        <v>#VALUE!</v>
      </c>
      <c r="B116" s="189"/>
      <c r="C116" s="189"/>
      <c r="D116" s="189"/>
      <c r="E116" s="189"/>
      <c r="F116" s="189"/>
      <c r="G116" s="189"/>
      <c r="H116" s="189"/>
      <c r="J116" s="189" t="e">
        <f>IF(K111&gt;0.7875,N115:IF(K111&lt;0.8785,N115))</f>
        <v>#VALUE!</v>
      </c>
      <c r="K116" s="189"/>
      <c r="L116" s="189"/>
      <c r="M116" s="189"/>
      <c r="N116" s="189"/>
      <c r="O116" s="189"/>
      <c r="P116" s="189"/>
      <c r="Q116" s="189"/>
    </row>
    <row r="117" spans="1:17" ht="12.75">
      <c r="A117" s="189" t="e">
        <f>IF(B111&gt;0.7705,D117:IF(B111&lt;0.7875,D117))</f>
        <v>#VALUE!</v>
      </c>
      <c r="B117" s="189"/>
      <c r="C117" s="189"/>
      <c r="D117" s="189">
        <v>2680.3206</v>
      </c>
      <c r="E117" s="189">
        <v>0.00336312</v>
      </c>
      <c r="F117" s="189" t="e">
        <f>(A117/(1000*B111*1000*B111))+A118/(1000*B111)</f>
        <v>#VALUE!</v>
      </c>
      <c r="G117" s="189" t="e">
        <f>EXP(-F117*C112*(1+0.8*F117))</f>
        <v>#VALUE!</v>
      </c>
      <c r="H117" s="189" t="e">
        <f>B111*G117</f>
        <v>#VALUE!</v>
      </c>
      <c r="J117" s="189" t="e">
        <f>IF(K111&gt;0.7705,M117:IF(K111&lt;0.7875,M117))</f>
        <v>#VALUE!</v>
      </c>
      <c r="K117" s="189"/>
      <c r="L117" s="189"/>
      <c r="M117" s="189">
        <v>2680.3206</v>
      </c>
      <c r="N117" s="189">
        <v>0.00336312</v>
      </c>
      <c r="O117" s="189" t="e">
        <f>(J117/(1000*K111*1000*K111))+J118/(1000*K111)</f>
        <v>#VALUE!</v>
      </c>
      <c r="P117" s="189" t="e">
        <f>EXP(-O117*L112*(1+0.8*O117))</f>
        <v>#VALUE!</v>
      </c>
      <c r="Q117" s="189" t="e">
        <f>K111*P117</f>
        <v>#VALUE!</v>
      </c>
    </row>
    <row r="118" spans="1:17" ht="12.75">
      <c r="A118" s="189" t="e">
        <f>IF(B111&gt;0.7705,E117:IF(B111&lt;0.7875,E117))</f>
        <v>#VALUE!</v>
      </c>
      <c r="B118" s="189"/>
      <c r="C118" s="189"/>
      <c r="D118" s="189"/>
      <c r="E118" s="189"/>
      <c r="F118" s="189"/>
      <c r="G118" s="191"/>
      <c r="H118" s="191"/>
      <c r="J118" s="189" t="e">
        <f>IF(K111&gt;0.7705,N117:IF(K111&lt;0.7875,N117))</f>
        <v>#VALUE!</v>
      </c>
      <c r="K118" s="189"/>
      <c r="L118" s="189"/>
      <c r="M118" s="189"/>
      <c r="N118" s="189"/>
      <c r="O118" s="189"/>
      <c r="P118" s="191"/>
      <c r="Q118" s="191"/>
    </row>
    <row r="119" ht="12.75"/>
    <row r="120" spans="1:10" ht="12.75">
      <c r="A120" s="166">
        <v>3</v>
      </c>
      <c r="J120" s="166">
        <v>3</v>
      </c>
    </row>
    <row r="121" spans="1:17" ht="12.75">
      <c r="A121" s="189" t="s">
        <v>80</v>
      </c>
      <c r="B121" s="189">
        <f>N11</f>
        <v>0.9885</v>
      </c>
      <c r="C121" s="189"/>
      <c r="D121" s="189"/>
      <c r="E121" s="189"/>
      <c r="F121" s="190" t="s">
        <v>8</v>
      </c>
      <c r="G121" s="189" t="s">
        <v>254</v>
      </c>
      <c r="H121" s="189" t="s">
        <v>80</v>
      </c>
      <c r="J121" s="189" t="s">
        <v>80</v>
      </c>
      <c r="K121" s="189">
        <f>N22</f>
        <v>0.9885</v>
      </c>
      <c r="L121" s="189"/>
      <c r="M121" s="189"/>
      <c r="N121" s="189"/>
      <c r="O121" s="190" t="s">
        <v>8</v>
      </c>
      <c r="P121" s="189" t="s">
        <v>254</v>
      </c>
      <c r="Q121" s="189" t="s">
        <v>80</v>
      </c>
    </row>
    <row r="122" spans="1:17" ht="12.75">
      <c r="A122" s="189" t="s">
        <v>255</v>
      </c>
      <c r="B122" s="189">
        <f>M11</f>
        <v>40</v>
      </c>
      <c r="C122" s="189">
        <f>B122-15</f>
        <v>25</v>
      </c>
      <c r="D122" s="189"/>
      <c r="E122" s="189"/>
      <c r="F122" s="189"/>
      <c r="G122" s="189"/>
      <c r="H122" s="189" t="s">
        <v>256</v>
      </c>
      <c r="J122" s="189" t="s">
        <v>255</v>
      </c>
      <c r="K122" s="189">
        <f>M22</f>
        <v>40</v>
      </c>
      <c r="L122" s="189">
        <f>K122-15</f>
        <v>25</v>
      </c>
      <c r="M122" s="189"/>
      <c r="N122" s="189"/>
      <c r="O122" s="189"/>
      <c r="P122" s="189"/>
      <c r="Q122" s="189" t="s">
        <v>256</v>
      </c>
    </row>
    <row r="123" spans="1:17" ht="12.75">
      <c r="A123" s="189">
        <f>IF(B121&gt;0.8785,D123)</f>
        <v>186.9696</v>
      </c>
      <c r="B123" s="189"/>
      <c r="C123" s="189"/>
      <c r="D123" s="189">
        <v>186.9696</v>
      </c>
      <c r="E123" s="189">
        <v>0.4862</v>
      </c>
      <c r="F123" s="189">
        <f>(A123/(1000*B121*1000*B121))+A124/(1000*B121)</f>
        <v>0.00068320158299964</v>
      </c>
      <c r="G123" s="189">
        <f>EXP(-F123*C122*(1+0.8*F123))</f>
        <v>0.9830558202292288</v>
      </c>
      <c r="H123" s="189">
        <f>B121*G123</f>
        <v>0.9717506782965927</v>
      </c>
      <c r="J123" s="189">
        <f>IF(K121&gt;0.8785,M123)</f>
        <v>186.9696</v>
      </c>
      <c r="K123" s="189"/>
      <c r="L123" s="189"/>
      <c r="M123" s="189">
        <v>186.9696</v>
      </c>
      <c r="N123" s="189">
        <v>0.4862</v>
      </c>
      <c r="O123" s="189">
        <f>(J123/(1000*K121*1000*K121))+J124/(1000*K121)</f>
        <v>0.00068320158299964</v>
      </c>
      <c r="P123" s="189">
        <f>EXP(-O123*L122*(1+0.8*O123))</f>
        <v>0.9830558202292288</v>
      </c>
      <c r="Q123" s="189">
        <f>K121*P123</f>
        <v>0.9717506782965927</v>
      </c>
    </row>
    <row r="124" spans="1:17" ht="12.75">
      <c r="A124" s="189">
        <f>IF(B121&gt;0.8785,E123)</f>
        <v>0.4862</v>
      </c>
      <c r="B124" s="189"/>
      <c r="C124" s="189"/>
      <c r="D124" s="189"/>
      <c r="E124" s="189"/>
      <c r="F124" s="189"/>
      <c r="G124" s="189"/>
      <c r="H124" s="189"/>
      <c r="J124" s="189">
        <f>IF(K121&gt;0.8785,N123)</f>
        <v>0.4862</v>
      </c>
      <c r="K124" s="189"/>
      <c r="L124" s="189"/>
      <c r="M124" s="189"/>
      <c r="N124" s="189"/>
      <c r="O124" s="189"/>
      <c r="P124" s="189"/>
      <c r="Q124" s="189"/>
    </row>
    <row r="125" spans="1:17" ht="12.75">
      <c r="A125" s="189" t="e">
        <f>IF(B121&gt;0.7875,D125:IF(B121&lt;0.8785,D125))</f>
        <v>#VALUE!</v>
      </c>
      <c r="B125" s="189"/>
      <c r="C125" s="189"/>
      <c r="D125" s="189">
        <v>594.5418</v>
      </c>
      <c r="E125" s="189">
        <v>0.0131</v>
      </c>
      <c r="F125" s="189" t="e">
        <f>(A125/(1000*B121*1000*B121))+A126/(1000*B121)</f>
        <v>#VALUE!</v>
      </c>
      <c r="G125" s="189" t="e">
        <f>EXP(-F125*C122*(1+0.8*F125))</f>
        <v>#VALUE!</v>
      </c>
      <c r="H125" s="189" t="e">
        <f>B121*G125</f>
        <v>#VALUE!</v>
      </c>
      <c r="J125" s="189" t="e">
        <f>IF(K121&gt;0.7875,M125:IF(K121&lt;0.8785,M125))</f>
        <v>#VALUE!</v>
      </c>
      <c r="K125" s="189"/>
      <c r="L125" s="189"/>
      <c r="M125" s="189">
        <v>594.5418</v>
      </c>
      <c r="N125" s="189">
        <v>0.0131</v>
      </c>
      <c r="O125" s="189" t="e">
        <f>(J125/(1000*K121*1000*K121))+J126/(1000*K121)</f>
        <v>#VALUE!</v>
      </c>
      <c r="P125" s="189" t="e">
        <f>EXP(-O125*L122*(1+0.8*O125))</f>
        <v>#VALUE!</v>
      </c>
      <c r="Q125" s="189" t="e">
        <f>K121*P125</f>
        <v>#VALUE!</v>
      </c>
    </row>
    <row r="126" spans="1:17" ht="12.75">
      <c r="A126" s="189" t="e">
        <f>IF(B121&gt;0.7875,E125:IF(B121&lt;0.8785,E125))</f>
        <v>#VALUE!</v>
      </c>
      <c r="B126" s="189"/>
      <c r="C126" s="189"/>
      <c r="D126" s="189"/>
      <c r="E126" s="189"/>
      <c r="F126" s="189"/>
      <c r="G126" s="189"/>
      <c r="H126" s="189"/>
      <c r="J126" s="189" t="e">
        <f>IF(K121&gt;0.7875,N125:IF(K121&lt;0.8785,N125))</f>
        <v>#VALUE!</v>
      </c>
      <c r="K126" s="189"/>
      <c r="L126" s="189"/>
      <c r="M126" s="189"/>
      <c r="N126" s="189"/>
      <c r="O126" s="189"/>
      <c r="P126" s="189"/>
      <c r="Q126" s="189"/>
    </row>
    <row r="127" spans="1:17" ht="12.75">
      <c r="A127" s="189" t="e">
        <f>IF(B121&gt;0.7705,D127:IF(B121&lt;0.7875,D127))</f>
        <v>#VALUE!</v>
      </c>
      <c r="B127" s="189"/>
      <c r="C127" s="189"/>
      <c r="D127" s="189">
        <v>2680.3206</v>
      </c>
      <c r="E127" s="189">
        <v>0.00336312</v>
      </c>
      <c r="F127" s="189" t="e">
        <f>(A127/(1000*B121*1000*B121))+A128/(1000*B121)</f>
        <v>#VALUE!</v>
      </c>
      <c r="G127" s="189" t="e">
        <f>EXP(-F127*C122*(1+0.8*F127))</f>
        <v>#VALUE!</v>
      </c>
      <c r="H127" s="189" t="e">
        <f>B121*G127</f>
        <v>#VALUE!</v>
      </c>
      <c r="J127" s="189" t="e">
        <f>IF(K121&gt;0.7705,M127:IF(K121&lt;0.7875,M127))</f>
        <v>#VALUE!</v>
      </c>
      <c r="K127" s="189"/>
      <c r="L127" s="189"/>
      <c r="M127" s="189">
        <v>2680.3206</v>
      </c>
      <c r="N127" s="189">
        <v>0.00336312</v>
      </c>
      <c r="O127" s="189" t="e">
        <f>(J127/(1000*K121*1000*K121))+J128/(1000*K121)</f>
        <v>#VALUE!</v>
      </c>
      <c r="P127" s="189" t="e">
        <f>EXP(-O127*L122*(1+0.8*O127))</f>
        <v>#VALUE!</v>
      </c>
      <c r="Q127" s="189" t="e">
        <f>K121*P127</f>
        <v>#VALUE!</v>
      </c>
    </row>
    <row r="128" spans="1:17" ht="12.75">
      <c r="A128" s="189" t="e">
        <f>IF(B121&gt;0.7705,E127:IF(B121&lt;0.7875,E127))</f>
        <v>#VALUE!</v>
      </c>
      <c r="B128" s="189"/>
      <c r="C128" s="189"/>
      <c r="D128" s="189"/>
      <c r="E128" s="189"/>
      <c r="F128" s="189"/>
      <c r="G128" s="191"/>
      <c r="H128" s="191"/>
      <c r="J128" s="189" t="e">
        <f>IF(K121&gt;0.7705,N127:IF(K121&lt;0.7875,N127))</f>
        <v>#VALUE!</v>
      </c>
      <c r="K128" s="189"/>
      <c r="L128" s="189"/>
      <c r="M128" s="189"/>
      <c r="N128" s="189"/>
      <c r="O128" s="189"/>
      <c r="P128" s="191"/>
      <c r="Q128" s="191"/>
    </row>
    <row r="129" ht="12.75"/>
    <row r="130" spans="1:10" ht="12.75">
      <c r="A130" s="166">
        <v>4</v>
      </c>
      <c r="J130" s="166">
        <v>4</v>
      </c>
    </row>
    <row r="131" spans="1:17" ht="12.75">
      <c r="A131" s="189" t="s">
        <v>80</v>
      </c>
      <c r="B131" s="189">
        <f>N12</f>
        <v>0</v>
      </c>
      <c r="C131" s="189"/>
      <c r="D131" s="189"/>
      <c r="E131" s="189"/>
      <c r="F131" s="190" t="s">
        <v>8</v>
      </c>
      <c r="G131" s="189" t="s">
        <v>254</v>
      </c>
      <c r="H131" s="189" t="s">
        <v>80</v>
      </c>
      <c r="J131" s="189" t="s">
        <v>80</v>
      </c>
      <c r="K131" s="189">
        <f>N23</f>
        <v>0.88</v>
      </c>
      <c r="L131" s="189"/>
      <c r="M131" s="189"/>
      <c r="N131" s="189"/>
      <c r="O131" s="190" t="s">
        <v>8</v>
      </c>
      <c r="P131" s="189" t="s">
        <v>254</v>
      </c>
      <c r="Q131" s="189" t="s">
        <v>80</v>
      </c>
    </row>
    <row r="132" spans="1:17" ht="12.75">
      <c r="A132" s="189" t="s">
        <v>255</v>
      </c>
      <c r="B132" s="189">
        <f>M12</f>
        <v>0</v>
      </c>
      <c r="C132" s="189">
        <f>B132-15</f>
        <v>-15</v>
      </c>
      <c r="D132" s="189"/>
      <c r="E132" s="189"/>
      <c r="F132" s="189"/>
      <c r="G132" s="189"/>
      <c r="H132" s="189" t="s">
        <v>256</v>
      </c>
      <c r="J132" s="189" t="s">
        <v>255</v>
      </c>
      <c r="K132" s="189">
        <f>M23</f>
        <v>28</v>
      </c>
      <c r="L132" s="189">
        <f>K132-15</f>
        <v>13</v>
      </c>
      <c r="M132" s="189"/>
      <c r="N132" s="189"/>
      <c r="O132" s="189"/>
      <c r="P132" s="189"/>
      <c r="Q132" s="189" t="s">
        <v>256</v>
      </c>
    </row>
    <row r="133" spans="1:17" ht="12.75">
      <c r="A133" s="189" t="b">
        <f>IF(B131&gt;0.8785,D133)</f>
        <v>0</v>
      </c>
      <c r="B133" s="189"/>
      <c r="C133" s="189"/>
      <c r="D133" s="189">
        <v>186.9696</v>
      </c>
      <c r="E133" s="189">
        <v>0.4862</v>
      </c>
      <c r="F133" s="189" t="e">
        <f>(A133/(1000*B131*1000*B131))+A134/(1000*B131)</f>
        <v>#DIV/0!</v>
      </c>
      <c r="G133" s="189" t="e">
        <f>EXP(-F133*C132*(1+0.8*F133))</f>
        <v>#DIV/0!</v>
      </c>
      <c r="H133" s="189" t="e">
        <f>B131*G133</f>
        <v>#DIV/0!</v>
      </c>
      <c r="J133" s="189">
        <f>IF(K131&gt;0.8785,M133)</f>
        <v>186.9696</v>
      </c>
      <c r="K133" s="189"/>
      <c r="L133" s="189"/>
      <c r="M133" s="189">
        <v>186.9696</v>
      </c>
      <c r="N133" s="189">
        <v>0.4862</v>
      </c>
      <c r="O133" s="189">
        <f>(J133/(1000*K131*1000*K131))+J134/(1000*K131)</f>
        <v>0.0007939380165289257</v>
      </c>
      <c r="P133" s="189">
        <f>EXP(-O133*L132*(1+0.8*O133))</f>
        <v>0.9897253983574898</v>
      </c>
      <c r="Q133" s="189">
        <f>K131*P133</f>
        <v>0.870958350554591</v>
      </c>
    </row>
    <row r="134" spans="1:17" ht="12.75">
      <c r="A134" s="189" t="b">
        <f>IF(B131&gt;0.8785,E133)</f>
        <v>0</v>
      </c>
      <c r="B134" s="189"/>
      <c r="C134" s="189"/>
      <c r="D134" s="189"/>
      <c r="E134" s="189"/>
      <c r="F134" s="189"/>
      <c r="G134" s="189"/>
      <c r="H134" s="189"/>
      <c r="J134" s="189">
        <f>IF(K131&gt;0.8785,N133)</f>
        <v>0.4862</v>
      </c>
      <c r="K134" s="189"/>
      <c r="L134" s="189"/>
      <c r="M134" s="189"/>
      <c r="N134" s="189"/>
      <c r="O134" s="189"/>
      <c r="P134" s="189"/>
      <c r="Q134" s="189"/>
    </row>
    <row r="135" spans="1:17" ht="12.75">
      <c r="A135" s="189" t="b">
        <f>IF(B131&gt;0.7875,D135:IF(B131&lt;0.8785,D135))</f>
        <v>0</v>
      </c>
      <c r="B135" s="189"/>
      <c r="C135" s="189"/>
      <c r="D135" s="189">
        <v>594.5418</v>
      </c>
      <c r="E135" s="189">
        <v>0.0131</v>
      </c>
      <c r="F135" s="189" t="e">
        <f>(A135/(1000*B131*1000*B131))+A136/(1000*B131)</f>
        <v>#DIV/0!</v>
      </c>
      <c r="G135" s="189" t="e">
        <f>EXP(-F135*C132*(1+0.8*F135))</f>
        <v>#DIV/0!</v>
      </c>
      <c r="H135" s="189" t="e">
        <f>B131*G135</f>
        <v>#DIV/0!</v>
      </c>
      <c r="J135" s="189" t="e">
        <f>IF(K131&gt;0.7875,M135:IF(K131&lt;0.8785,M135))</f>
        <v>#VALUE!</v>
      </c>
      <c r="K135" s="189"/>
      <c r="L135" s="189"/>
      <c r="M135" s="189">
        <v>594.5418</v>
      </c>
      <c r="N135" s="189">
        <v>0.0131</v>
      </c>
      <c r="O135" s="189" t="e">
        <f>(J135/(1000*K131*1000*K131))+J136/(1000*K131)</f>
        <v>#VALUE!</v>
      </c>
      <c r="P135" s="189" t="e">
        <f>EXP(-O135*L132*(1+0.8*O135))</f>
        <v>#VALUE!</v>
      </c>
      <c r="Q135" s="189" t="e">
        <f>K131*P135</f>
        <v>#VALUE!</v>
      </c>
    </row>
    <row r="136" spans="1:17" ht="12.75">
      <c r="A136" s="189" t="b">
        <f>IF(B131&gt;0.7875,E135:IF(B131&lt;0.8785,E135))</f>
        <v>0</v>
      </c>
      <c r="B136" s="189"/>
      <c r="C136" s="189"/>
      <c r="D136" s="189"/>
      <c r="E136" s="189"/>
      <c r="F136" s="189"/>
      <c r="G136" s="189"/>
      <c r="H136" s="189"/>
      <c r="J136" s="189" t="e">
        <f>IF(K131&gt;0.7875,N135:IF(K131&lt;0.8785,N135))</f>
        <v>#VALUE!</v>
      </c>
      <c r="K136" s="189"/>
      <c r="L136" s="189"/>
      <c r="M136" s="189"/>
      <c r="N136" s="189"/>
      <c r="O136" s="189"/>
      <c r="P136" s="189"/>
      <c r="Q136" s="189"/>
    </row>
    <row r="137" spans="1:17" ht="12.75">
      <c r="A137" s="189" t="b">
        <f>IF(B131&gt;0.7705,D137:IF(B131&lt;0.7875,D137))</f>
        <v>0</v>
      </c>
      <c r="B137" s="189"/>
      <c r="C137" s="189"/>
      <c r="D137" s="189">
        <v>2680.3206</v>
      </c>
      <c r="E137" s="189">
        <v>0.00336312</v>
      </c>
      <c r="F137" s="189" t="e">
        <f>(A137/(1000*B131*1000*B131))+A138/(1000*B131)</f>
        <v>#DIV/0!</v>
      </c>
      <c r="G137" s="189" t="e">
        <f>EXP(-F137*C132*(1+0.8*F137))</f>
        <v>#DIV/0!</v>
      </c>
      <c r="H137" s="189" t="e">
        <f>B131*G137</f>
        <v>#DIV/0!</v>
      </c>
      <c r="J137" s="189" t="e">
        <f>IF(K131&gt;0.7705,M137:IF(K131&lt;0.7875,M137))</f>
        <v>#VALUE!</v>
      </c>
      <c r="K137" s="189"/>
      <c r="L137" s="189"/>
      <c r="M137" s="189">
        <v>2680.3206</v>
      </c>
      <c r="N137" s="189">
        <v>0.00336312</v>
      </c>
      <c r="O137" s="189" t="e">
        <f>(J137/(1000*K131*1000*K131))+J138/(1000*K131)</f>
        <v>#VALUE!</v>
      </c>
      <c r="P137" s="189" t="e">
        <f>EXP(-O137*L132*(1+0.8*O137))</f>
        <v>#VALUE!</v>
      </c>
      <c r="Q137" s="189" t="e">
        <f>K131*P137</f>
        <v>#VALUE!</v>
      </c>
    </row>
    <row r="138" spans="1:17" ht="12.75">
      <c r="A138" s="189" t="b">
        <f>IF(B131&gt;0.7705,E137:IF(B131&lt;0.7875,E137))</f>
        <v>0</v>
      </c>
      <c r="B138" s="189"/>
      <c r="C138" s="189"/>
      <c r="D138" s="189"/>
      <c r="E138" s="189"/>
      <c r="F138" s="189"/>
      <c r="G138" s="191"/>
      <c r="H138" s="191"/>
      <c r="J138" s="189" t="e">
        <f>IF(K131&gt;0.7705,N137:IF(K131&lt;0.7875,N137))</f>
        <v>#VALUE!</v>
      </c>
      <c r="K138" s="189"/>
      <c r="L138" s="189"/>
      <c r="M138" s="189"/>
      <c r="N138" s="189"/>
      <c r="O138" s="189"/>
      <c r="P138" s="191"/>
      <c r="Q138" s="191"/>
    </row>
    <row r="139" ht="12.75"/>
    <row r="140" spans="1:10" ht="12.75">
      <c r="A140" s="166">
        <v>5</v>
      </c>
      <c r="J140" s="166">
        <v>5</v>
      </c>
    </row>
    <row r="141" spans="1:17" ht="12.75">
      <c r="A141" s="189" t="s">
        <v>80</v>
      </c>
      <c r="B141" s="189">
        <f>N13</f>
        <v>0</v>
      </c>
      <c r="C141" s="189"/>
      <c r="D141" s="189"/>
      <c r="E141" s="189"/>
      <c r="F141" s="190" t="s">
        <v>8</v>
      </c>
      <c r="G141" s="189" t="s">
        <v>254</v>
      </c>
      <c r="H141" s="189" t="s">
        <v>80</v>
      </c>
      <c r="J141" s="189" t="s">
        <v>80</v>
      </c>
      <c r="K141" s="189">
        <f>N24</f>
        <v>0.98</v>
      </c>
      <c r="L141" s="189"/>
      <c r="M141" s="189"/>
      <c r="N141" s="189"/>
      <c r="O141" s="190" t="s">
        <v>8</v>
      </c>
      <c r="P141" s="189" t="s">
        <v>254</v>
      </c>
      <c r="Q141" s="189" t="s">
        <v>80</v>
      </c>
    </row>
    <row r="142" spans="1:17" ht="12.75">
      <c r="A142" s="189" t="s">
        <v>255</v>
      </c>
      <c r="B142" s="189">
        <f>M13</f>
        <v>0</v>
      </c>
      <c r="C142" s="189">
        <f>B142-15</f>
        <v>-15</v>
      </c>
      <c r="D142" s="189"/>
      <c r="E142" s="189"/>
      <c r="F142" s="189"/>
      <c r="G142" s="189"/>
      <c r="H142" s="189" t="s">
        <v>256</v>
      </c>
      <c r="J142" s="189" t="s">
        <v>255</v>
      </c>
      <c r="K142" s="189">
        <f>M24</f>
        <v>30</v>
      </c>
      <c r="L142" s="189">
        <f>K142-15</f>
        <v>15</v>
      </c>
      <c r="M142" s="189"/>
      <c r="N142" s="189"/>
      <c r="O142" s="189"/>
      <c r="P142" s="189"/>
      <c r="Q142" s="189" t="s">
        <v>256</v>
      </c>
    </row>
    <row r="143" spans="1:17" ht="12.75">
      <c r="A143" s="189" t="b">
        <f>IF(B141&gt;0.8785,D143)</f>
        <v>0</v>
      </c>
      <c r="B143" s="189"/>
      <c r="C143" s="189"/>
      <c r="D143" s="189">
        <v>186.9696</v>
      </c>
      <c r="E143" s="189">
        <v>0.4862</v>
      </c>
      <c r="F143" s="189" t="e">
        <f>(A143/(1000*B141*1000*B141))+A144/(1000*B141)</f>
        <v>#DIV/0!</v>
      </c>
      <c r="G143" s="189" t="e">
        <f>EXP(-F143*C142*(1+0.8*F143))</f>
        <v>#DIV/0!</v>
      </c>
      <c r="H143" s="189" t="e">
        <f>B141*G143</f>
        <v>#DIV/0!</v>
      </c>
      <c r="J143" s="189">
        <f>IF(K141&gt;0.8785,M143)</f>
        <v>186.9696</v>
      </c>
      <c r="K143" s="189"/>
      <c r="L143" s="189"/>
      <c r="M143" s="189">
        <v>186.9696</v>
      </c>
      <c r="N143" s="189">
        <v>0.4862</v>
      </c>
      <c r="O143" s="189">
        <f>(J143/(1000*K141*1000*K141))+J144/(1000*K141)</f>
        <v>0.0006908013327780093</v>
      </c>
      <c r="P143" s="189">
        <f>EXP(-O143*L142*(1+0.8*O143))</f>
        <v>0.9896858133559403</v>
      </c>
      <c r="Q143" s="189">
        <f>K141*P143</f>
        <v>0.9698920970888215</v>
      </c>
    </row>
    <row r="144" spans="1:17" ht="12.75">
      <c r="A144" s="189" t="b">
        <f>IF(B141&gt;0.8785,E143)</f>
        <v>0</v>
      </c>
      <c r="B144" s="189"/>
      <c r="C144" s="189"/>
      <c r="D144" s="189"/>
      <c r="E144" s="189"/>
      <c r="F144" s="189"/>
      <c r="G144" s="189"/>
      <c r="H144" s="189"/>
      <c r="J144" s="189">
        <f>IF(K141&gt;0.8785,N143)</f>
        <v>0.4862</v>
      </c>
      <c r="K144" s="189"/>
      <c r="L144" s="189"/>
      <c r="M144" s="189"/>
      <c r="N144" s="189"/>
      <c r="O144" s="189"/>
      <c r="P144" s="189"/>
      <c r="Q144" s="189"/>
    </row>
    <row r="145" spans="1:17" ht="12.75">
      <c r="A145" s="189" t="b">
        <f>IF(B141&gt;0.7875,D145:IF(B141&lt;0.8785,D145))</f>
        <v>0</v>
      </c>
      <c r="B145" s="189"/>
      <c r="C145" s="189"/>
      <c r="D145" s="189">
        <v>594.5418</v>
      </c>
      <c r="E145" s="189">
        <v>0.0131</v>
      </c>
      <c r="F145" s="189" t="e">
        <f>(A145/(1000*B141*1000*B141))+A146/(1000*B141)</f>
        <v>#DIV/0!</v>
      </c>
      <c r="G145" s="189" t="e">
        <f>EXP(-F145*C142*(1+0.8*F145))</f>
        <v>#DIV/0!</v>
      </c>
      <c r="H145" s="189" t="e">
        <f>B141*G145</f>
        <v>#DIV/0!</v>
      </c>
      <c r="J145" s="189" t="e">
        <f>IF(K141&gt;0.7875,M145:IF(K141&lt;0.8785,M145))</f>
        <v>#VALUE!</v>
      </c>
      <c r="K145" s="189"/>
      <c r="L145" s="189"/>
      <c r="M145" s="189">
        <v>594.5418</v>
      </c>
      <c r="N145" s="189">
        <v>0.0131</v>
      </c>
      <c r="O145" s="189" t="e">
        <f>(J145/(1000*K141*1000*K141))+J146/(1000*K141)</f>
        <v>#VALUE!</v>
      </c>
      <c r="P145" s="189" t="e">
        <f>EXP(-O145*L142*(1+0.8*O145))</f>
        <v>#VALUE!</v>
      </c>
      <c r="Q145" s="189" t="e">
        <f>K141*P145</f>
        <v>#VALUE!</v>
      </c>
    </row>
    <row r="146" spans="1:17" ht="12.75">
      <c r="A146" s="189" t="b">
        <f>IF(B141&gt;0.7875,E145:IF(B141&lt;0.8785,E145))</f>
        <v>0</v>
      </c>
      <c r="B146" s="189"/>
      <c r="C146" s="189"/>
      <c r="D146" s="189"/>
      <c r="E146" s="189"/>
      <c r="F146" s="189"/>
      <c r="G146" s="189"/>
      <c r="H146" s="189"/>
      <c r="J146" s="189" t="e">
        <f>IF(K141&gt;0.7875,N145:IF(K141&lt;0.8785,N145))</f>
        <v>#VALUE!</v>
      </c>
      <c r="K146" s="189"/>
      <c r="L146" s="189"/>
      <c r="M146" s="189"/>
      <c r="N146" s="189"/>
      <c r="O146" s="189"/>
      <c r="P146" s="189"/>
      <c r="Q146" s="189"/>
    </row>
    <row r="147" spans="1:17" ht="12.75">
      <c r="A147" s="189" t="b">
        <f>IF(B141&gt;0.7705,D147:IF(B141&lt;0.7875,D147))</f>
        <v>0</v>
      </c>
      <c r="B147" s="189"/>
      <c r="C147" s="189"/>
      <c r="D147" s="189">
        <v>2680.3206</v>
      </c>
      <c r="E147" s="189">
        <v>0.00336312</v>
      </c>
      <c r="F147" s="189" t="e">
        <f>(A147/(1000*B141*1000*B141))+A148/(1000*B141)</f>
        <v>#DIV/0!</v>
      </c>
      <c r="G147" s="189" t="e">
        <f>EXP(-F147*C142*(1+0.8*F147))</f>
        <v>#DIV/0!</v>
      </c>
      <c r="H147" s="189" t="e">
        <f>B141*G147</f>
        <v>#DIV/0!</v>
      </c>
      <c r="J147" s="189" t="e">
        <f>IF(K141&gt;0.7705,M147:IF(K141&lt;0.7875,M147))</f>
        <v>#VALUE!</v>
      </c>
      <c r="K147" s="189"/>
      <c r="L147" s="189"/>
      <c r="M147" s="189">
        <v>2680.3206</v>
      </c>
      <c r="N147" s="189">
        <v>0.00336312</v>
      </c>
      <c r="O147" s="189" t="e">
        <f>(J147/(1000*K141*1000*K141))+J148/(1000*K141)</f>
        <v>#VALUE!</v>
      </c>
      <c r="P147" s="189" t="e">
        <f>EXP(-O147*L142*(1+0.8*O147))</f>
        <v>#VALUE!</v>
      </c>
      <c r="Q147" s="189" t="e">
        <f>K141*P147</f>
        <v>#VALUE!</v>
      </c>
    </row>
    <row r="148" spans="1:17" ht="12.75">
      <c r="A148" s="189" t="b">
        <f>IF(B141&gt;0.7705,E147:IF(B141&lt;0.7875,E147))</f>
        <v>0</v>
      </c>
      <c r="B148" s="189"/>
      <c r="C148" s="189"/>
      <c r="D148" s="189"/>
      <c r="E148" s="189"/>
      <c r="F148" s="189"/>
      <c r="G148" s="191"/>
      <c r="H148" s="191"/>
      <c r="J148" s="189" t="e">
        <f>IF(K141&gt;0.7705,N147:IF(K141&lt;0.7875,N147))</f>
        <v>#VALUE!</v>
      </c>
      <c r="K148" s="189"/>
      <c r="L148" s="189"/>
      <c r="M148" s="189"/>
      <c r="N148" s="189"/>
      <c r="O148" s="189"/>
      <c r="P148" s="191"/>
      <c r="Q148" s="191"/>
    </row>
    <row r="149" ht="12.75"/>
    <row r="150" spans="1:10" ht="12.75">
      <c r="A150" s="166">
        <v>6</v>
      </c>
      <c r="J150" s="166">
        <v>6</v>
      </c>
    </row>
    <row r="151" spans="1:17" ht="12.75">
      <c r="A151" s="189" t="s">
        <v>80</v>
      </c>
      <c r="B151" s="189">
        <f>N14</f>
        <v>0</v>
      </c>
      <c r="C151" s="189"/>
      <c r="D151" s="189"/>
      <c r="E151" s="189"/>
      <c r="F151" s="190" t="s">
        <v>8</v>
      </c>
      <c r="G151" s="189" t="s">
        <v>254</v>
      </c>
      <c r="H151" s="189" t="s">
        <v>80</v>
      </c>
      <c r="J151" s="189" t="s">
        <v>80</v>
      </c>
      <c r="K151" s="189">
        <f>N25</f>
        <v>0.88</v>
      </c>
      <c r="L151" s="189"/>
      <c r="M151" s="189"/>
      <c r="N151" s="189"/>
      <c r="O151" s="190" t="s">
        <v>8</v>
      </c>
      <c r="P151" s="189" t="s">
        <v>254</v>
      </c>
      <c r="Q151" s="189" t="s">
        <v>80</v>
      </c>
    </row>
    <row r="152" spans="1:17" ht="12.75">
      <c r="A152" s="189" t="s">
        <v>255</v>
      </c>
      <c r="B152" s="189">
        <f>M14</f>
        <v>0</v>
      </c>
      <c r="C152" s="189">
        <f>B152-15</f>
        <v>-15</v>
      </c>
      <c r="D152" s="189"/>
      <c r="E152" s="189"/>
      <c r="F152" s="189"/>
      <c r="G152" s="189"/>
      <c r="H152" s="189" t="s">
        <v>256</v>
      </c>
      <c r="J152" s="189" t="s">
        <v>255</v>
      </c>
      <c r="K152" s="189">
        <f>M25</f>
        <v>28</v>
      </c>
      <c r="L152" s="189">
        <f>K152-15</f>
        <v>13</v>
      </c>
      <c r="M152" s="189"/>
      <c r="N152" s="189"/>
      <c r="O152" s="189"/>
      <c r="P152" s="189"/>
      <c r="Q152" s="189" t="s">
        <v>256</v>
      </c>
    </row>
    <row r="153" spans="1:17" ht="12.75">
      <c r="A153" s="189" t="b">
        <f>IF(B151&gt;0.8785,D153)</f>
        <v>0</v>
      </c>
      <c r="B153" s="189"/>
      <c r="C153" s="189"/>
      <c r="D153" s="189">
        <v>186.9696</v>
      </c>
      <c r="E153" s="189">
        <v>0.4862</v>
      </c>
      <c r="F153" s="189" t="e">
        <f>(A153/(1000*B151*1000*B151))+A154/(1000*B151)</f>
        <v>#DIV/0!</v>
      </c>
      <c r="G153" s="189" t="e">
        <f>EXP(-F153*C152*(1+0.8*F153))</f>
        <v>#DIV/0!</v>
      </c>
      <c r="H153" s="189" t="e">
        <f>B151*G153</f>
        <v>#DIV/0!</v>
      </c>
      <c r="J153" s="189">
        <f>IF(K151&gt;0.8785,M153)</f>
        <v>186.9696</v>
      </c>
      <c r="K153" s="189"/>
      <c r="L153" s="189"/>
      <c r="M153" s="189">
        <v>186.9696</v>
      </c>
      <c r="N153" s="189">
        <v>0.4862</v>
      </c>
      <c r="O153" s="189">
        <f>(J153/(1000*K151*1000*K151))+J154/(1000*K151)</f>
        <v>0.0007939380165289257</v>
      </c>
      <c r="P153" s="189">
        <f>EXP(-O153*L152*(1+0.8*O153))</f>
        <v>0.9897253983574898</v>
      </c>
      <c r="Q153" s="189">
        <f>K151*P153</f>
        <v>0.870958350554591</v>
      </c>
    </row>
    <row r="154" spans="1:17" ht="12.75">
      <c r="A154" s="189" t="b">
        <f>IF(B151&gt;0.8785,E153)</f>
        <v>0</v>
      </c>
      <c r="B154" s="189"/>
      <c r="C154" s="189"/>
      <c r="D154" s="189"/>
      <c r="E154" s="189"/>
      <c r="F154" s="189"/>
      <c r="G154" s="189"/>
      <c r="H154" s="189"/>
      <c r="J154" s="189">
        <f>IF(K151&gt;0.8785,N153)</f>
        <v>0.4862</v>
      </c>
      <c r="K154" s="189"/>
      <c r="L154" s="189"/>
      <c r="M154" s="189"/>
      <c r="N154" s="189"/>
      <c r="O154" s="189"/>
      <c r="P154" s="189"/>
      <c r="Q154" s="189"/>
    </row>
    <row r="155" spans="1:17" ht="12.75">
      <c r="A155" s="189" t="b">
        <f>IF(B151&gt;0.7875,D155:IF(B151&lt;0.8785,D155))</f>
        <v>0</v>
      </c>
      <c r="B155" s="189"/>
      <c r="C155" s="189"/>
      <c r="D155" s="189">
        <v>594.5418</v>
      </c>
      <c r="E155" s="189">
        <v>0.0131</v>
      </c>
      <c r="F155" s="189" t="e">
        <f>(A155/(1000*B151*1000*B151))+A156/(1000*B151)</f>
        <v>#DIV/0!</v>
      </c>
      <c r="G155" s="189" t="e">
        <f>EXP(-F155*C152*(1+0.8*F155))</f>
        <v>#DIV/0!</v>
      </c>
      <c r="H155" s="189" t="e">
        <f>B151*G155</f>
        <v>#DIV/0!</v>
      </c>
      <c r="J155" s="189" t="e">
        <f>IF(K151&gt;0.7875,M155:IF(K151&lt;0.8785,M155))</f>
        <v>#VALUE!</v>
      </c>
      <c r="K155" s="189"/>
      <c r="L155" s="189"/>
      <c r="M155" s="189">
        <v>594.5418</v>
      </c>
      <c r="N155" s="189">
        <v>0.0131</v>
      </c>
      <c r="O155" s="189" t="e">
        <f>(J155/(1000*K151*1000*K151))+J156/(1000*K151)</f>
        <v>#VALUE!</v>
      </c>
      <c r="P155" s="189" t="e">
        <f>EXP(-O155*L152*(1+0.8*O155))</f>
        <v>#VALUE!</v>
      </c>
      <c r="Q155" s="189" t="e">
        <f>K151*P155</f>
        <v>#VALUE!</v>
      </c>
    </row>
    <row r="156" spans="1:17" ht="12.75">
      <c r="A156" s="189" t="b">
        <f>IF(B151&gt;0.7875,E155:IF(B151&lt;0.8785,E155))</f>
        <v>0</v>
      </c>
      <c r="B156" s="189"/>
      <c r="C156" s="189"/>
      <c r="D156" s="189"/>
      <c r="E156" s="189"/>
      <c r="F156" s="189"/>
      <c r="G156" s="189"/>
      <c r="H156" s="189"/>
      <c r="J156" s="189" t="e">
        <f>IF(K151&gt;0.7875,N155:IF(K151&lt;0.8785,N155))</f>
        <v>#VALUE!</v>
      </c>
      <c r="K156" s="189"/>
      <c r="L156" s="189"/>
      <c r="M156" s="189"/>
      <c r="N156" s="189"/>
      <c r="O156" s="189"/>
      <c r="P156" s="189"/>
      <c r="Q156" s="189"/>
    </row>
    <row r="157" spans="1:17" ht="12.75">
      <c r="A157" s="189" t="b">
        <f>IF(B151&gt;0.7705,D157:IF(B151&lt;0.7875,D157))</f>
        <v>0</v>
      </c>
      <c r="B157" s="189"/>
      <c r="C157" s="189"/>
      <c r="D157" s="189">
        <v>2680.3206</v>
      </c>
      <c r="E157" s="189">
        <v>0.00336312</v>
      </c>
      <c r="F157" s="189" t="e">
        <f>(A157/(1000*B151*1000*B151))+A158/(1000*B151)</f>
        <v>#DIV/0!</v>
      </c>
      <c r="G157" s="189" t="e">
        <f>EXP(-F157*C152*(1+0.8*F157))</f>
        <v>#DIV/0!</v>
      </c>
      <c r="H157" s="189" t="e">
        <f>B151*G157</f>
        <v>#DIV/0!</v>
      </c>
      <c r="J157" s="189" t="e">
        <f>IF(K151&gt;0.7705,M157:IF(K151&lt;0.7875,M157))</f>
        <v>#VALUE!</v>
      </c>
      <c r="K157" s="189"/>
      <c r="L157" s="189"/>
      <c r="M157" s="189">
        <v>2680.3206</v>
      </c>
      <c r="N157" s="189">
        <v>0.00336312</v>
      </c>
      <c r="O157" s="189" t="e">
        <f>(J157/(1000*K151*1000*K151))+J158/(1000*K151)</f>
        <v>#VALUE!</v>
      </c>
      <c r="P157" s="189" t="e">
        <f>EXP(-O157*L152*(1+0.8*O157))</f>
        <v>#VALUE!</v>
      </c>
      <c r="Q157" s="189" t="e">
        <f>K151*P157</f>
        <v>#VALUE!</v>
      </c>
    </row>
    <row r="158" spans="1:17" ht="12.75">
      <c r="A158" s="189" t="b">
        <f>IF(B151&gt;0.7705,E157:IF(B151&lt;0.7875,E157))</f>
        <v>0</v>
      </c>
      <c r="B158" s="189"/>
      <c r="C158" s="189"/>
      <c r="D158" s="189"/>
      <c r="E158" s="189"/>
      <c r="F158" s="189"/>
      <c r="G158" s="191"/>
      <c r="H158" s="191"/>
      <c r="J158" s="189" t="e">
        <f>IF(K151&gt;0.7705,N157:IF(K151&lt;0.7875,N157))</f>
        <v>#VALUE!</v>
      </c>
      <c r="K158" s="189"/>
      <c r="L158" s="189"/>
      <c r="M158" s="189"/>
      <c r="N158" s="189"/>
      <c r="O158" s="189"/>
      <c r="P158" s="191"/>
      <c r="Q158" s="191"/>
    </row>
    <row r="159" ht="12.75"/>
    <row r="160" spans="1:10" ht="12.75">
      <c r="A160" s="166">
        <v>7</v>
      </c>
      <c r="J160" s="166">
        <v>7</v>
      </c>
    </row>
    <row r="161" spans="1:17" ht="12.75">
      <c r="A161" s="189" t="s">
        <v>80</v>
      </c>
      <c r="B161" s="189">
        <f>N15</f>
        <v>0</v>
      </c>
      <c r="C161" s="189"/>
      <c r="D161" s="189"/>
      <c r="E161" s="189"/>
      <c r="F161" s="190" t="s">
        <v>8</v>
      </c>
      <c r="G161" s="189" t="s">
        <v>254</v>
      </c>
      <c r="H161" s="189" t="s">
        <v>80</v>
      </c>
      <c r="J161" s="189" t="s">
        <v>80</v>
      </c>
      <c r="K161" s="189">
        <f>N26</f>
        <v>0.98</v>
      </c>
      <c r="L161" s="189"/>
      <c r="M161" s="189"/>
      <c r="N161" s="189"/>
      <c r="O161" s="190" t="s">
        <v>8</v>
      </c>
      <c r="P161" s="189" t="s">
        <v>254</v>
      </c>
      <c r="Q161" s="189" t="s">
        <v>80</v>
      </c>
    </row>
    <row r="162" spans="1:17" ht="12.75">
      <c r="A162" s="189" t="s">
        <v>255</v>
      </c>
      <c r="B162" s="189">
        <f>M15</f>
        <v>0</v>
      </c>
      <c r="C162" s="189">
        <f>B162-15</f>
        <v>-15</v>
      </c>
      <c r="D162" s="189"/>
      <c r="E162" s="189"/>
      <c r="F162" s="189"/>
      <c r="G162" s="189"/>
      <c r="H162" s="189" t="s">
        <v>256</v>
      </c>
      <c r="J162" s="189" t="s">
        <v>255</v>
      </c>
      <c r="K162" s="189">
        <f>M26</f>
        <v>30</v>
      </c>
      <c r="L162" s="189">
        <f>K162-15</f>
        <v>15</v>
      </c>
      <c r="M162" s="189"/>
      <c r="N162" s="189"/>
      <c r="O162" s="189"/>
      <c r="P162" s="189"/>
      <c r="Q162" s="189" t="s">
        <v>256</v>
      </c>
    </row>
    <row r="163" spans="1:17" ht="12.75">
      <c r="A163" s="189" t="b">
        <f>IF(B161&gt;0.8785,D163)</f>
        <v>0</v>
      </c>
      <c r="B163" s="189"/>
      <c r="C163" s="189"/>
      <c r="D163" s="189">
        <v>186.9696</v>
      </c>
      <c r="E163" s="189">
        <v>0.4862</v>
      </c>
      <c r="F163" s="189" t="e">
        <f>(A163/(1000*B161*1000*B161))+A164/(1000*B161)</f>
        <v>#DIV/0!</v>
      </c>
      <c r="G163" s="189" t="e">
        <f>EXP(-F163*C162*(1+0.8*F163))</f>
        <v>#DIV/0!</v>
      </c>
      <c r="H163" s="189" t="e">
        <f>B161*G163</f>
        <v>#DIV/0!</v>
      </c>
      <c r="J163" s="189">
        <f>IF(K161&gt;0.8785,M163)</f>
        <v>186.9696</v>
      </c>
      <c r="K163" s="189"/>
      <c r="L163" s="189"/>
      <c r="M163" s="189">
        <v>186.9696</v>
      </c>
      <c r="N163" s="189">
        <v>0.4862</v>
      </c>
      <c r="O163" s="189">
        <f>(J163/(1000*K161*1000*K161))+J164/(1000*K161)</f>
        <v>0.0006908013327780093</v>
      </c>
      <c r="P163" s="189">
        <f>EXP(-O163*L162*(1+0.8*O163))</f>
        <v>0.9896858133559403</v>
      </c>
      <c r="Q163" s="189">
        <f>K161*P163</f>
        <v>0.9698920970888215</v>
      </c>
    </row>
    <row r="164" spans="1:17" ht="12.75">
      <c r="A164" s="189" t="b">
        <f>IF(B161&gt;0.8785,E163)</f>
        <v>0</v>
      </c>
      <c r="B164" s="189"/>
      <c r="C164" s="189"/>
      <c r="D164" s="189"/>
      <c r="E164" s="189"/>
      <c r="F164" s="189"/>
      <c r="G164" s="189"/>
      <c r="H164" s="189"/>
      <c r="J164" s="189">
        <f>IF(K161&gt;0.8785,N163)</f>
        <v>0.4862</v>
      </c>
      <c r="K164" s="189"/>
      <c r="L164" s="189"/>
      <c r="M164" s="189"/>
      <c r="N164" s="189"/>
      <c r="O164" s="189"/>
      <c r="P164" s="189"/>
      <c r="Q164" s="189"/>
    </row>
    <row r="165" spans="1:17" ht="12.75">
      <c r="A165" s="189" t="b">
        <f>IF(B161&gt;0.7875,D165:IF(B161&lt;0.8785,D165))</f>
        <v>0</v>
      </c>
      <c r="B165" s="189"/>
      <c r="C165" s="189"/>
      <c r="D165" s="189">
        <v>594.5418</v>
      </c>
      <c r="E165" s="189">
        <v>0.0131</v>
      </c>
      <c r="F165" s="189" t="e">
        <f>(A165/(1000*B161*1000*B161))+A166/(1000*B161)</f>
        <v>#DIV/0!</v>
      </c>
      <c r="G165" s="189" t="e">
        <f>EXP(-F165*C162*(1+0.8*F165))</f>
        <v>#DIV/0!</v>
      </c>
      <c r="H165" s="189" t="e">
        <f>B161*G165</f>
        <v>#DIV/0!</v>
      </c>
      <c r="J165" s="189" t="e">
        <f>IF(K161&gt;0.7875,M165:IF(K161&lt;0.8785,M165))</f>
        <v>#VALUE!</v>
      </c>
      <c r="K165" s="189"/>
      <c r="L165" s="189"/>
      <c r="M165" s="189">
        <v>594.5418</v>
      </c>
      <c r="N165" s="189">
        <v>0.0131</v>
      </c>
      <c r="O165" s="189" t="e">
        <f>(J165/(1000*K161*1000*K161))+J166/(1000*K161)</f>
        <v>#VALUE!</v>
      </c>
      <c r="P165" s="189" t="e">
        <f>EXP(-O165*L162*(1+0.8*O165))</f>
        <v>#VALUE!</v>
      </c>
      <c r="Q165" s="189" t="e">
        <f>K161*P165</f>
        <v>#VALUE!</v>
      </c>
    </row>
    <row r="166" spans="1:17" ht="12.75">
      <c r="A166" s="189" t="b">
        <f>IF(B161&gt;0.7875,E165:IF(B161&lt;0.8785,E165))</f>
        <v>0</v>
      </c>
      <c r="B166" s="189"/>
      <c r="C166" s="189"/>
      <c r="D166" s="189"/>
      <c r="E166" s="189"/>
      <c r="F166" s="189"/>
      <c r="G166" s="189"/>
      <c r="H166" s="189"/>
      <c r="J166" s="189" t="e">
        <f>IF(K161&gt;0.7875,N165:IF(K161&lt;0.8785,N165))</f>
        <v>#VALUE!</v>
      </c>
      <c r="K166" s="189"/>
      <c r="L166" s="189"/>
      <c r="M166" s="189"/>
      <c r="N166" s="189"/>
      <c r="O166" s="189"/>
      <c r="P166" s="189"/>
      <c r="Q166" s="189"/>
    </row>
    <row r="167" spans="1:17" ht="12.75">
      <c r="A167" s="189" t="b">
        <f>IF(B161&gt;0.7705,D167:IF(B161&lt;0.7875,D167))</f>
        <v>0</v>
      </c>
      <c r="B167" s="189"/>
      <c r="C167" s="189"/>
      <c r="D167" s="189">
        <v>2680.3206</v>
      </c>
      <c r="E167" s="189">
        <v>0.00336312</v>
      </c>
      <c r="F167" s="189" t="e">
        <f>(A167/(1000*B161*1000*B161))+A168/(1000*B161)</f>
        <v>#DIV/0!</v>
      </c>
      <c r="G167" s="189" t="e">
        <f>EXP(-F167*C162*(1+0.8*F167))</f>
        <v>#DIV/0!</v>
      </c>
      <c r="H167" s="189" t="e">
        <f>B161*G167</f>
        <v>#DIV/0!</v>
      </c>
      <c r="J167" s="189" t="e">
        <f>IF(K161&gt;0.7705,M167:IF(K161&lt;0.7875,M167))</f>
        <v>#VALUE!</v>
      </c>
      <c r="K167" s="189"/>
      <c r="L167" s="189"/>
      <c r="M167" s="189">
        <v>2680.3206</v>
      </c>
      <c r="N167" s="189">
        <v>0.00336312</v>
      </c>
      <c r="O167" s="189" t="e">
        <f>(J167/(1000*K161*1000*K161))+J168/(1000*K161)</f>
        <v>#VALUE!</v>
      </c>
      <c r="P167" s="189" t="e">
        <f>EXP(-O167*L162*(1+0.8*O167))</f>
        <v>#VALUE!</v>
      </c>
      <c r="Q167" s="189" t="e">
        <f>K161*P167</f>
        <v>#VALUE!</v>
      </c>
    </row>
    <row r="168" spans="1:17" ht="12.75">
      <c r="A168" s="189" t="b">
        <f>IF(B161&gt;0.7705,E167:IF(B161&lt;0.7875,E167))</f>
        <v>0</v>
      </c>
      <c r="B168" s="189"/>
      <c r="C168" s="189"/>
      <c r="D168" s="189"/>
      <c r="E168" s="189"/>
      <c r="F168" s="189"/>
      <c r="G168" s="191"/>
      <c r="H168" s="191"/>
      <c r="J168" s="189" t="e">
        <f>IF(K161&gt;0.7705,N167:IF(K161&lt;0.7875,N167))</f>
        <v>#VALUE!</v>
      </c>
      <c r="K168" s="189"/>
      <c r="L168" s="189"/>
      <c r="M168" s="189"/>
      <c r="N168" s="189"/>
      <c r="O168" s="189"/>
      <c r="P168" s="191"/>
      <c r="Q168" s="191"/>
    </row>
    <row r="169" ht="12.75"/>
    <row r="170" spans="1:10" ht="12.75">
      <c r="A170" s="166">
        <v>8</v>
      </c>
      <c r="J170" s="166">
        <v>8</v>
      </c>
    </row>
    <row r="171" spans="1:17" ht="12.75">
      <c r="A171" s="189" t="s">
        <v>80</v>
      </c>
      <c r="B171" s="189" t="str">
        <f>N16</f>
        <v> </v>
      </c>
      <c r="C171" s="189"/>
      <c r="D171" s="189"/>
      <c r="E171" s="189"/>
      <c r="F171" s="190" t="s">
        <v>8</v>
      </c>
      <c r="G171" s="189" t="s">
        <v>254</v>
      </c>
      <c r="H171" s="189" t="s">
        <v>80</v>
      </c>
      <c r="J171" s="189" t="s">
        <v>80</v>
      </c>
      <c r="K171" s="189">
        <f>N27</f>
        <v>0</v>
      </c>
      <c r="L171" s="189"/>
      <c r="M171" s="189"/>
      <c r="N171" s="189"/>
      <c r="O171" s="190" t="s">
        <v>8</v>
      </c>
      <c r="P171" s="189" t="s">
        <v>254</v>
      </c>
      <c r="Q171" s="189" t="s">
        <v>80</v>
      </c>
    </row>
    <row r="172" spans="1:17" ht="12.75">
      <c r="A172" s="189" t="s">
        <v>255</v>
      </c>
      <c r="B172" s="189" t="str">
        <f>M16</f>
        <v> </v>
      </c>
      <c r="C172" s="189" t="e">
        <f>B172-15</f>
        <v>#VALUE!</v>
      </c>
      <c r="D172" s="189"/>
      <c r="E172" s="189"/>
      <c r="F172" s="189"/>
      <c r="G172" s="189"/>
      <c r="H172" s="189" t="s">
        <v>256</v>
      </c>
      <c r="J172" s="189" t="s">
        <v>255</v>
      </c>
      <c r="K172" s="189">
        <f>M27</f>
        <v>0</v>
      </c>
      <c r="L172" s="189">
        <f>K172-15</f>
        <v>-15</v>
      </c>
      <c r="M172" s="189"/>
      <c r="N172" s="189"/>
      <c r="O172" s="189"/>
      <c r="P172" s="189"/>
      <c r="Q172" s="189" t="s">
        <v>256</v>
      </c>
    </row>
    <row r="173" spans="1:17" ht="12.75">
      <c r="A173" s="189">
        <f>IF(B171&gt;0.8785,D173)</f>
        <v>186.9696</v>
      </c>
      <c r="B173" s="189"/>
      <c r="C173" s="189"/>
      <c r="D173" s="189">
        <v>186.9696</v>
      </c>
      <c r="E173" s="189">
        <v>0.4862</v>
      </c>
      <c r="F173" s="189" t="e">
        <f>(A173/(1000*B171*1000*B171))+A174/(1000*B171)</f>
        <v>#VALUE!</v>
      </c>
      <c r="G173" s="189" t="e">
        <f>EXP(-F173*C172*(1+0.8*F173))</f>
        <v>#VALUE!</v>
      </c>
      <c r="H173" s="189" t="e">
        <f>B171*G173</f>
        <v>#VALUE!</v>
      </c>
      <c r="J173" s="189" t="b">
        <f>IF(K171&gt;0.8785,M173)</f>
        <v>0</v>
      </c>
      <c r="K173" s="189"/>
      <c r="L173" s="189"/>
      <c r="M173" s="189">
        <v>186.9696</v>
      </c>
      <c r="N173" s="189">
        <v>0.4862</v>
      </c>
      <c r="O173" s="189" t="e">
        <f>(J173/(1000*K171*1000*K171))+J174/(1000*K171)</f>
        <v>#DIV/0!</v>
      </c>
      <c r="P173" s="189" t="e">
        <f>EXP(-O173*L172*(1+0.8*O173))</f>
        <v>#DIV/0!</v>
      </c>
      <c r="Q173" s="189" t="e">
        <f>K171*P173</f>
        <v>#DIV/0!</v>
      </c>
    </row>
    <row r="174" spans="1:17" ht="12.75">
      <c r="A174" s="189">
        <f>IF(B171&gt;0.8785,E173)</f>
        <v>0.4862</v>
      </c>
      <c r="B174" s="189"/>
      <c r="C174" s="189"/>
      <c r="D174" s="189"/>
      <c r="E174" s="189"/>
      <c r="F174" s="189"/>
      <c r="G174" s="189"/>
      <c r="H174" s="189"/>
      <c r="J174" s="189" t="b">
        <f>IF(K171&gt;0.8785,N173)</f>
        <v>0</v>
      </c>
      <c r="K174" s="189"/>
      <c r="L174" s="189"/>
      <c r="M174" s="189"/>
      <c r="N174" s="189"/>
      <c r="O174" s="189"/>
      <c r="P174" s="189"/>
      <c r="Q174" s="189"/>
    </row>
    <row r="175" spans="1:17" ht="12.75">
      <c r="A175" s="189" t="e">
        <f>IF(B171&gt;0.7875,D175:IF(B171&lt;0.8785,D175))</f>
        <v>#VALUE!</v>
      </c>
      <c r="B175" s="189"/>
      <c r="C175" s="189"/>
      <c r="D175" s="189">
        <v>594.5418</v>
      </c>
      <c r="E175" s="189">
        <v>0.0131</v>
      </c>
      <c r="F175" s="189" t="e">
        <f>(A175/(1000*B171*1000*B171))+A176/(1000*B171)</f>
        <v>#VALUE!</v>
      </c>
      <c r="G175" s="189" t="e">
        <f>EXP(-F175*C172*(1+0.8*F175))</f>
        <v>#VALUE!</v>
      </c>
      <c r="H175" s="189" t="e">
        <f>B171*G175</f>
        <v>#VALUE!</v>
      </c>
      <c r="J175" s="189" t="b">
        <f>IF(K171&gt;0.7875,M175:IF(K171&lt;0.8785,M175))</f>
        <v>0</v>
      </c>
      <c r="K175" s="189"/>
      <c r="L175" s="189"/>
      <c r="M175" s="189">
        <v>594.5418</v>
      </c>
      <c r="N175" s="189">
        <v>0.0131</v>
      </c>
      <c r="O175" s="189" t="e">
        <f>(J175/(1000*K171*1000*K171))+J176/(1000*K171)</f>
        <v>#DIV/0!</v>
      </c>
      <c r="P175" s="189" t="e">
        <f>EXP(-O175*L172*(1+0.8*O175))</f>
        <v>#DIV/0!</v>
      </c>
      <c r="Q175" s="189" t="e">
        <f>K171*P175</f>
        <v>#DIV/0!</v>
      </c>
    </row>
    <row r="176" spans="1:17" ht="12.75">
      <c r="A176" s="189" t="e">
        <f>IF(B171&gt;0.7875,E175:IF(B171&lt;0.8785,E175))</f>
        <v>#VALUE!</v>
      </c>
      <c r="B176" s="189"/>
      <c r="C176" s="189"/>
      <c r="D176" s="189"/>
      <c r="E176" s="189"/>
      <c r="F176" s="189"/>
      <c r="G176" s="189"/>
      <c r="H176" s="189"/>
      <c r="J176" s="189" t="b">
        <f>IF(K171&gt;0.7875,N175:IF(K171&lt;0.8785,N175))</f>
        <v>0</v>
      </c>
      <c r="K176" s="189"/>
      <c r="L176" s="189"/>
      <c r="M176" s="189"/>
      <c r="N176" s="189"/>
      <c r="O176" s="189"/>
      <c r="P176" s="189"/>
      <c r="Q176" s="189"/>
    </row>
    <row r="177" spans="1:17" ht="12.75">
      <c r="A177" s="189" t="e">
        <f>IF(B171&gt;0.7705,D177:IF(B171&lt;0.7875,D177))</f>
        <v>#VALUE!</v>
      </c>
      <c r="B177" s="189"/>
      <c r="C177" s="189"/>
      <c r="D177" s="189">
        <v>2680.3206</v>
      </c>
      <c r="E177" s="189">
        <v>0.00336312</v>
      </c>
      <c r="F177" s="189" t="e">
        <f>(A177/(1000*B171*1000*B171))+A178/(1000*B171)</f>
        <v>#VALUE!</v>
      </c>
      <c r="G177" s="189" t="e">
        <f>EXP(-F177*C172*(1+0.8*F177))</f>
        <v>#VALUE!</v>
      </c>
      <c r="H177" s="189" t="e">
        <f>B171*G177</f>
        <v>#VALUE!</v>
      </c>
      <c r="J177" s="189" t="b">
        <f>IF(K171&gt;0.7705,M177:IF(K171&lt;0.7875,M177))</f>
        <v>0</v>
      </c>
      <c r="K177" s="189"/>
      <c r="L177" s="189"/>
      <c r="M177" s="189">
        <v>2680.3206</v>
      </c>
      <c r="N177" s="189">
        <v>0.00336312</v>
      </c>
      <c r="O177" s="189" t="e">
        <f>(J177/(1000*K171*1000*K171))+J178/(1000*K171)</f>
        <v>#DIV/0!</v>
      </c>
      <c r="P177" s="189" t="e">
        <f>EXP(-O177*L172*(1+0.8*O177))</f>
        <v>#DIV/0!</v>
      </c>
      <c r="Q177" s="189" t="e">
        <f>K171*P177</f>
        <v>#DIV/0!</v>
      </c>
    </row>
    <row r="178" spans="1:17" ht="12.75">
      <c r="A178" s="189" t="e">
        <f>IF(B171&gt;0.7705,E177:IF(B171&lt;0.7875,E177))</f>
        <v>#VALUE!</v>
      </c>
      <c r="B178" s="189"/>
      <c r="C178" s="189"/>
      <c r="D178" s="189"/>
      <c r="E178" s="189"/>
      <c r="F178" s="189"/>
      <c r="G178" s="191"/>
      <c r="H178" s="191"/>
      <c r="J178" s="189" t="b">
        <f>IF(K171&gt;0.7705,N177:IF(K171&lt;0.7875,N177))</f>
        <v>0</v>
      </c>
      <c r="K178" s="189"/>
      <c r="L178" s="189"/>
      <c r="M178" s="189"/>
      <c r="N178" s="189"/>
      <c r="O178" s="189"/>
      <c r="P178" s="191"/>
      <c r="Q178" s="191"/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printOptions horizontalCentered="1" verticalCentered="1"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smdraft</dc:title>
  <dc:subject/>
  <dc:creator>AQUILES PARRA P.</dc:creator>
  <cp:keywords/>
  <dc:description/>
  <cp:lastModifiedBy>Rederij Wessels B.V.</cp:lastModifiedBy>
  <cp:lastPrinted>2003-05-31T20:16:55Z</cp:lastPrinted>
  <dcterms:created xsi:type="dcterms:W3CDTF">2001-04-14T00:32:57Z</dcterms:created>
  <dcterms:modified xsi:type="dcterms:W3CDTF">2003-12-01T03:35:44Z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