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36" windowWidth="11820" windowHeight="7125" activeTab="0"/>
  </bookViews>
  <sheets>
    <sheet name="Уничтожение" sheetId="1" r:id="rId1"/>
    <sheet name="Остаточная" sheetId="2" r:id="rId2"/>
    <sheet name="График" sheetId="3" r:id="rId3"/>
    <sheet name="Печать" sheetId="4" r:id="rId4"/>
    <sheet name="План1" sheetId="5" r:id="rId5"/>
    <sheet name="План2" sheetId="6" r:id="rId6"/>
    <sheet name="Приказ1" sheetId="7" r:id="rId7"/>
    <sheet name="Приказ2" sheetId="8" r:id="rId8"/>
    <sheet name="Пояснения1" sheetId="9" r:id="rId9"/>
    <sheet name="Пояснения2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>
    <definedName name="_xlnm.Print_Area" localSheetId="1">'Остаточная'!$A$1:$R$38</definedName>
    <definedName name="_xlnm.Print_Area" localSheetId="3">'Печать'!$A$1:$Z$42</definedName>
    <definedName name="_xlnm.Print_Area" localSheetId="4">'План1'!$A$1:$J$47</definedName>
    <definedName name="_xlnm.Print_Area" localSheetId="5">'План2'!$A$1:$I$31</definedName>
    <definedName name="_xlnm.Print_Area" localSheetId="0">'Уничтожение'!$A$1:$V$53</definedName>
  </definedNames>
  <calcPr fullCalcOnLoad="1"/>
</workbook>
</file>

<file path=xl/sharedStrings.xml><?xml version="1.0" encoding="utf-8"?>
<sst xmlns="http://schemas.openxmlformats.org/spreadsheetml/2006/main" count="379" uniqueCount="295">
  <si>
    <t>КУ</t>
  </si>
  <si>
    <t>РКУ</t>
  </si>
  <si>
    <t>f</t>
  </si>
  <si>
    <t>A=</t>
  </si>
  <si>
    <t>B=</t>
  </si>
  <si>
    <t>C=</t>
  </si>
  <si>
    <t>Д=</t>
  </si>
  <si>
    <t>E=</t>
  </si>
  <si>
    <t>разн.</t>
  </si>
  <si>
    <t xml:space="preserve">  НОВЫЕ</t>
  </si>
  <si>
    <t>СТАРЫЕ</t>
  </si>
  <si>
    <t>H=</t>
  </si>
  <si>
    <t>ПРИМЕЧАНИЕ!</t>
  </si>
  <si>
    <t xml:space="preserve"> Для уничтожения р/девиации</t>
  </si>
  <si>
    <t>и рассчитывается по формуле:</t>
  </si>
  <si>
    <r>
      <t>Д=</t>
    </r>
    <r>
      <rPr>
        <sz val="16"/>
        <rFont val="Arial Cyr"/>
        <family val="2"/>
      </rPr>
      <t>(f</t>
    </r>
    <r>
      <rPr>
        <sz val="8"/>
        <rFont val="Arial Cyr"/>
        <family val="2"/>
      </rPr>
      <t>45</t>
    </r>
    <r>
      <rPr>
        <sz val="16"/>
        <rFont val="Arial Cyr"/>
        <family val="2"/>
      </rPr>
      <t>-f</t>
    </r>
    <r>
      <rPr>
        <sz val="8"/>
        <rFont val="Arial Cyr"/>
        <family val="2"/>
      </rPr>
      <t>135</t>
    </r>
    <r>
      <rPr>
        <sz val="16"/>
        <rFont val="Arial Cyr"/>
        <family val="2"/>
      </rPr>
      <t>)+(f</t>
    </r>
    <r>
      <rPr>
        <sz val="8"/>
        <rFont val="Arial Cyr"/>
        <family val="2"/>
      </rPr>
      <t>225</t>
    </r>
    <r>
      <rPr>
        <sz val="16"/>
        <rFont val="Arial Cyr"/>
        <family val="2"/>
      </rPr>
      <t>-f</t>
    </r>
    <r>
      <rPr>
        <sz val="8"/>
        <rFont val="Arial Cyr"/>
        <family val="2"/>
      </rPr>
      <t>315</t>
    </r>
    <r>
      <rPr>
        <sz val="16"/>
        <rFont val="Arial Cyr"/>
        <family val="2"/>
      </rPr>
      <t>)/4</t>
    </r>
  </si>
  <si>
    <t>Если данные в таблие слева верны то</t>
  </si>
  <si>
    <t>Коэффициенты</t>
  </si>
  <si>
    <t>радиодевиации</t>
  </si>
  <si>
    <t>Если А,Д&gt;1,0-их УНИЧТОЖАЮТ!!!</t>
  </si>
  <si>
    <t>Определение</t>
  </si>
  <si>
    <t>Коэффициенты остаточной радиодевиации</t>
  </si>
  <si>
    <t>fоср.</t>
  </si>
  <si>
    <t>fоср</t>
  </si>
  <si>
    <t>Остаточную радиодевиацию определял:КБЧ-1 МПК"Суздалец"ст.л-т.                   Т.Постоян.</t>
  </si>
  <si>
    <t>Заключение Ф-1:</t>
  </si>
  <si>
    <t>------------</t>
  </si>
  <si>
    <t xml:space="preserve">Наблюденная радиодевиация                                     </t>
  </si>
  <si>
    <t>ПРИМЕЧАНИЕ:</t>
  </si>
  <si>
    <t>Подписи данных приведены только для осредненной радиодевиации через 10</t>
  </si>
  <si>
    <t xml:space="preserve">Осредненная радиодевиация(внести в РТШ и НЖ)      </t>
  </si>
  <si>
    <t>оценка в дан-</t>
  </si>
  <si>
    <t>ном случае и далее</t>
  </si>
  <si>
    <t>выставенна в соот-</t>
  </si>
  <si>
    <t>ветствии с треова-</t>
  </si>
  <si>
    <t xml:space="preserve">р/девиации на главных и чет- </t>
  </si>
  <si>
    <t>вертных радиокурсовых углах:</t>
  </si>
  <si>
    <t>Тр КУ</t>
  </si>
  <si>
    <t>Компенсация коэффициентов радиодевиации радиопелегнатора "РУМБ".</t>
  </si>
  <si>
    <t>2)Компенсация  КОЭФФИЦИЕНТА "А".           .</t>
  </si>
  <si>
    <t>Компенсация производится путем балансировки каналов с помощью потенциометра компенсации. Компенсацию произвести с точностью до( + - )0,5*. Для компенсации</t>
  </si>
  <si>
    <t>Компенсация производится путем поворота ЭЛТ вправо или влево до 5*.</t>
  </si>
  <si>
    <t xml:space="preserve"> Для компенсации необходимо: а)переключатель рода работ установить в полжение КОНТРОЛЬ ;б)переключатель КОНТР.РАБОТЫ  установить в положение 1;          .</t>
  </si>
  <si>
    <t xml:space="preserve">в)визир установить на шкале РКУ под углом а=А (если А=-2* то а=358*);   г)отпустить стопор регулятора компенсации коэфф. А и повернуть компенсатор в положение </t>
  </si>
  <si>
    <t>при котором вертикальное изображение штриха на экране ЭЛТ совместится с визиром или будет параллельно ему; д)закрепить стопор регулятора компенсации коэффА</t>
  </si>
  <si>
    <t>необходимо: а)установить переключатель КОНТР.РАБОТЫ в положение 2; б)установить визир по шкале РКУ под углом q=45*+A+D; в)специальной антимагнитной от-</t>
  </si>
  <si>
    <t>верткой повернуть регулятор компенсации коэффициента D в положение при котором  штрих на экране ЭЛТ совместится с визиром или будет параллельным ему.     .</t>
  </si>
  <si>
    <t>После компенсации коэффициентов А и D необходимо произвести контроль, для чего: а)переключатель рода работы установить в полжение ПЕЛЕНГ; б) лечь на РКУ=</t>
  </si>
  <si>
    <t>0* и определить остаточную радиодевиацию. Если правильно скомпенсирован коэфф.А то остаточная радиодевиация  должна быть =расчетной с точностью(+ -) 0,5*;</t>
  </si>
  <si>
    <t>в)лечь на РКУ=45* и определить остаточную радиодевиацию. При правильно скомпенсированных коэфф А и D она должна быть равной расчетной с точностью (+ -) 0,5*</t>
  </si>
  <si>
    <t>3)Компенсация  КОЭФФИЦИЕНТА "D".          .</t>
  </si>
  <si>
    <t>КУпр.ц</t>
  </si>
  <si>
    <t>КУ л.ц</t>
  </si>
  <si>
    <t xml:space="preserve">Итоговая оценка выполненных радиодевиационных работ:            </t>
  </si>
  <si>
    <t>оценка</t>
  </si>
  <si>
    <t>нием §29 ПШС№32</t>
  </si>
  <si>
    <t xml:space="preserve">Использование данных при выходе в море </t>
  </si>
  <si>
    <r>
      <t>:</t>
    </r>
    <r>
      <rPr>
        <sz val="12"/>
        <rFont val="Arial Cyr"/>
        <family val="2"/>
      </rPr>
      <t>Ф-1 в/ч26977 к.3р.</t>
    </r>
  </si>
  <si>
    <t>П.Котляров.</t>
  </si>
  <si>
    <t>Корабль:МПК"Суздалец"</t>
  </si>
  <si>
    <t xml:space="preserve">Радиопеленгатор№       Тип:ДВРП"Румб"       </t>
  </si>
  <si>
    <t>Место определения:ХМЛ   Осадка:Тф=    м  Та=     м</t>
  </si>
  <si>
    <t>Объект р/п:РДП"Херсонесский"</t>
  </si>
  <si>
    <t>Расположение такелажа: по походному</t>
  </si>
  <si>
    <t>Корабельные антенны вкючены:</t>
  </si>
  <si>
    <t>а)"на прием": УКВ</t>
  </si>
  <si>
    <t>б)"изолировано": РЛС</t>
  </si>
  <si>
    <t>Уничтожены кэффициенты А,Д на f=285,5кГц</t>
  </si>
  <si>
    <r>
      <t xml:space="preserve">в </t>
    </r>
    <r>
      <rPr>
        <sz val="10"/>
        <color indexed="10"/>
        <rFont val="Arial Cyr"/>
        <family val="2"/>
      </rPr>
      <t>ДВРП"Румб"</t>
    </r>
    <r>
      <rPr>
        <sz val="10"/>
        <rFont val="Arial Cyr"/>
        <family val="2"/>
      </rPr>
      <t xml:space="preserve"> коэффициент Д другой</t>
    </r>
  </si>
  <si>
    <t>1)Компенсацию радиодевиации производить на той же частоте, для которой определялись предварительные коэффициенты.                                                     .</t>
  </si>
  <si>
    <t xml:space="preserve"> fнабл.</t>
  </si>
  <si>
    <t>Дата 25.03.01.</t>
  </si>
  <si>
    <t xml:space="preserve">Командир войсковой части 30955 </t>
  </si>
  <si>
    <t>Капитан-лейтенант  Чумак К.В.</t>
  </si>
  <si>
    <t>"УТВЕРЖДАЮ"</t>
  </si>
  <si>
    <t>____________________________</t>
  </si>
  <si>
    <t>(подпись)</t>
  </si>
  <si>
    <t>"_____"</t>
  </si>
  <si>
    <t>_____________</t>
  </si>
  <si>
    <t>2001 г.</t>
  </si>
  <si>
    <t>ПЛАН</t>
  </si>
  <si>
    <t>подготовки МПК "Суздалец"</t>
  </si>
  <si>
    <t>к радиодевиационным работам</t>
  </si>
  <si>
    <t>№</t>
  </si>
  <si>
    <t>п/п.</t>
  </si>
  <si>
    <t>1.</t>
  </si>
  <si>
    <t>2.</t>
  </si>
  <si>
    <t>3.</t>
  </si>
  <si>
    <t>4.</t>
  </si>
  <si>
    <t>5.</t>
  </si>
  <si>
    <t>Наименование</t>
  </si>
  <si>
    <t>мероприятий</t>
  </si>
  <si>
    <t xml:space="preserve">Срок </t>
  </si>
  <si>
    <t>вып.</t>
  </si>
  <si>
    <t>Ответст.</t>
  </si>
  <si>
    <t>исполн.</t>
  </si>
  <si>
    <t>Отметка</t>
  </si>
  <si>
    <t>о вып.</t>
  </si>
  <si>
    <t xml:space="preserve">Получить выписку из приказа командира </t>
  </si>
  <si>
    <t>соединения о сроках проведения работ.</t>
  </si>
  <si>
    <t>Пом.</t>
  </si>
  <si>
    <t>ком.кор.</t>
  </si>
  <si>
    <t xml:space="preserve">Составить расписание радиодевиацион- </t>
  </si>
  <si>
    <t>КБЧ-1</t>
  </si>
  <si>
    <t xml:space="preserve">Подготовить л/с </t>
  </si>
  <si>
    <t>радиодевиационого рас-</t>
  </si>
  <si>
    <t>чета к выполнению своих обязанностей.</t>
  </si>
  <si>
    <t>Составить схему маневрирования корабля</t>
  </si>
  <si>
    <t>в радиодевиационом полигоне.</t>
  </si>
  <si>
    <t>Подготовить планшет с нанесенными сет-</t>
  </si>
  <si>
    <t>ками изолиний , опасными глубинами . Ука-</t>
  </si>
  <si>
    <t xml:space="preserve">зать : время работы , частоту и характер </t>
  </si>
  <si>
    <t>изучений, сигналы связи с обеспечивающи-</t>
  </si>
  <si>
    <t>ми средствами.</t>
  </si>
  <si>
    <t>ного расчета.</t>
  </si>
  <si>
    <t>6.</t>
  </si>
  <si>
    <t>Проверить изоляцию такелажа от корпуса</t>
  </si>
  <si>
    <t xml:space="preserve">корабля , состояние изоляторов. </t>
  </si>
  <si>
    <t>КБЧ-4</t>
  </si>
  <si>
    <t>7.</t>
  </si>
  <si>
    <t>Проверить натяжение лучевых связных ан-</t>
  </si>
  <si>
    <t>тенн , крепление металлических фалов для</t>
  </si>
  <si>
    <t>конуса и шара.</t>
  </si>
  <si>
    <t>8.</t>
  </si>
  <si>
    <t>Установить антенны связи №№</t>
  </si>
  <si>
    <t>"На прием" ,№№</t>
  </si>
  <si>
    <t>"Изолировано".</t>
  </si>
  <si>
    <t>9.</t>
  </si>
  <si>
    <t>Убрать все нештатные металлические тро-</t>
  </si>
  <si>
    <t>са и оттяжки.</t>
  </si>
  <si>
    <t xml:space="preserve">10. </t>
  </si>
  <si>
    <t>Проверить положение палубного вооруже-</t>
  </si>
  <si>
    <t>ния , арт.установок , стрел , лебедок , зак-</t>
  </si>
  <si>
    <t>репить "По походному" все перемещающи-</t>
  </si>
  <si>
    <t>еся надпалубные механизмы.</t>
  </si>
  <si>
    <t>11.</t>
  </si>
  <si>
    <t>необходимости довести до соответствия.</t>
  </si>
  <si>
    <t>КБЧ-5</t>
  </si>
  <si>
    <t>12.</t>
  </si>
  <si>
    <t xml:space="preserve">Проверить осадку носом и кормой , при </t>
  </si>
  <si>
    <t>Проверить изоляцию рамочных и ненап-</t>
  </si>
  <si>
    <t>равленных антенн.</t>
  </si>
  <si>
    <t>13.</t>
  </si>
  <si>
    <t>Проверить техническое состояние радио-</t>
  </si>
  <si>
    <t>пеленгатора в объеме ТО-2 (РЭР МСН).</t>
  </si>
  <si>
    <t>14.</t>
  </si>
  <si>
    <t>Провести тренировку в базе с л/с расчета</t>
  </si>
  <si>
    <t>по предстоящим работам.</t>
  </si>
  <si>
    <t>15.</t>
  </si>
  <si>
    <t>Принять зачет от командира штурманской</t>
  </si>
  <si>
    <t>БЧ по знанию ПШС № 32.</t>
  </si>
  <si>
    <t>Коман-</t>
  </si>
  <si>
    <t xml:space="preserve">дир </t>
  </si>
  <si>
    <t>Старший помошник командира корабля : кап.л-т.                            С.Бор.</t>
  </si>
  <si>
    <t xml:space="preserve">Командир штурманской боевой части : ст.л-т.                                 Т.Постоян.  </t>
  </si>
  <si>
    <t>ПОЯСНИТЕЛЬНАЯ ЗАПИСКА.</t>
  </si>
  <si>
    <t>1.  Данная программа составлена для выполнения расчетов при радио-</t>
  </si>
  <si>
    <t xml:space="preserve">     или для проверки качества проведенных работ Фл.Шт. в базе.</t>
  </si>
  <si>
    <t xml:space="preserve">     Руководящими документами взятыми за основу в данной работе являются:</t>
  </si>
  <si>
    <t>---Правила штурманской службы № 32 "Радиодевиационные работы</t>
  </si>
  <si>
    <t xml:space="preserve">---Правила штурманской подготовки  надводных кораблей Военно- </t>
  </si>
  <si>
    <t>Морского Флота (ПШП НК ВМФ) - 2000г.</t>
  </si>
  <si>
    <t xml:space="preserve">2.  В разделе "УНИЧТОЖЕНИЕ" приведены следующие сведения:  </t>
  </si>
  <si>
    <t xml:space="preserve">          </t>
  </si>
  <si>
    <t>на кораблях Военно-Морского Флота" (ПШС № 32) - 1993г.</t>
  </si>
  <si>
    <t>а) Инструкция по правилам  использования данной программы;</t>
  </si>
  <si>
    <t>б) Таблица "Определение радиодевиации на главных и четвертных</t>
  </si>
  <si>
    <t>в) Таблица "Коэффициенты радиодевиации" в которой рассчитаны и</t>
  </si>
  <si>
    <t xml:space="preserve">     радиокурсовых углах";  </t>
  </si>
  <si>
    <t>д) Правила компенсации коэффициентов радиодевиации для ДВРП</t>
  </si>
  <si>
    <t xml:space="preserve">     оценены коэффициенты А,В,С,Д,Е ;</t>
  </si>
  <si>
    <t xml:space="preserve">      наблюденные при покладке корабля на главные и четвертные РКУ (в табл.</t>
  </si>
  <si>
    <t xml:space="preserve">      ее коэффициентов , а также оценит коэффициенты А и Д. При превышении</t>
  </si>
  <si>
    <t xml:space="preserve">      Для работы в данном разделе оператору необходимо только ввести  КУ</t>
  </si>
  <si>
    <t xml:space="preserve">      А и Д значения в 1 градус необходимо произвести их компенсацию .</t>
  </si>
  <si>
    <t xml:space="preserve">      наблюденные при медленной циркуляции корабля (вправо и влево) с шагом</t>
  </si>
  <si>
    <t xml:space="preserve">      РКУ=10 град.</t>
  </si>
  <si>
    <t xml:space="preserve">      ненной  радиодевиации , коэффициентов А,В,С,Д,Е,Н , а также оценка ос-</t>
  </si>
  <si>
    <t xml:space="preserve">      Если необходимо провести определение остаточных коэффициентов ра- </t>
  </si>
  <si>
    <t xml:space="preserve">      КУ пр.ц.;КУ л.ц. - вводить значения КУ (или осредненных КУ) наблюденных </t>
  </si>
  <si>
    <t xml:space="preserve">      на 9 равноотстоящих РКУ(0,40,80,120,160,200,240,280,320), но по моему </t>
  </si>
  <si>
    <t xml:space="preserve">      диодевиации на 9 РКУ отдельно , то в ячейки таблицы остаточной р/д </t>
  </si>
  <si>
    <t xml:space="preserve">      мнению данные для расчета коэффициентов можно выбрать  из наблюде- </t>
  </si>
  <si>
    <t xml:space="preserve">     Оценка показателя качества компенсации коэффициентов радиодевиации</t>
  </si>
  <si>
    <t xml:space="preserve">табл.6 </t>
  </si>
  <si>
    <t xml:space="preserve">     (коэффициентов А и Д) производится автоматически на основании</t>
  </si>
  <si>
    <t xml:space="preserve">     Оценка показателя точности определения остаточной  радиодевиации (раз-</t>
  </si>
  <si>
    <t xml:space="preserve">     ницы между наблюденной и расчетной р/д) производится автоматически</t>
  </si>
  <si>
    <t xml:space="preserve">     Кроме того в таблице производится расчет осредненной радиодевиации.</t>
  </si>
  <si>
    <t xml:space="preserve">      и осредняющий график с значениями р/д через 10 град.  </t>
  </si>
  <si>
    <t xml:space="preserve">      В данном разделе все операции выполняются автоматически при заполне-</t>
  </si>
  <si>
    <t xml:space="preserve">      нии оператором таблицы в разделе "Остаточная". Данныный раздел при </t>
  </si>
  <si>
    <t xml:space="preserve">      выводе на печать может быть использован как дополнение к отчету .</t>
  </si>
  <si>
    <t>4.   В разделе ГРАФИК представлены графики наблюденной и расчетной р/д</t>
  </si>
  <si>
    <t>5.   В разделе ПЕЧАТЬ представлена вся необходимая для отчета информа-</t>
  </si>
  <si>
    <t xml:space="preserve">      На данном листе выводимом на печать заменяемыми элементами являют-</t>
  </si>
  <si>
    <t xml:space="preserve">      ся : таблица с данными о корабле, радиопеленгаторе и месте р/д работ , а</t>
  </si>
  <si>
    <t xml:space="preserve">      также данные о дате, исполнителе и проверяющем проведенных р/д работ.</t>
  </si>
  <si>
    <t xml:space="preserve">      Все остальные данные заполняются автоматически. Заключение Ф-1 и ито-</t>
  </si>
  <si>
    <t xml:space="preserve">      говая оценка взаимозависимы и выставляются на основе анализа оценок</t>
  </si>
  <si>
    <t xml:space="preserve">      показателей качества и точности остаточной радиодевиации по наихудшей</t>
  </si>
  <si>
    <t>6.   В раделе ПЛАН представлен типовой план подготовки корабля к радио-</t>
  </si>
  <si>
    <t xml:space="preserve">      девиационным работам , который может быть изменен или дополнен в за-</t>
  </si>
  <si>
    <t xml:space="preserve">      висимости от степени готовности л/с , МСН и корабля .</t>
  </si>
  <si>
    <t>7.  В разделе ПРИКАЗЫ представлены образцы приказов командира корабля</t>
  </si>
  <si>
    <t xml:space="preserve">     "О назначении л/с радиодевиационного расчета","О допуске л/с р/д расчета</t>
  </si>
  <si>
    <t xml:space="preserve">     их значение и оценку и сделать выводы о необходимости уничтожения коэф-</t>
  </si>
  <si>
    <t xml:space="preserve">     маневра при определении предварительных коэффициентов р/д получить </t>
  </si>
  <si>
    <t xml:space="preserve">     фициентов А и Д . Далее, для определения (проверки) остаточной р/д и ос-</t>
  </si>
  <si>
    <t xml:space="preserve">     таточных коэффициентов р/д, также в реальном масштабе времени, вводя</t>
  </si>
  <si>
    <t xml:space="preserve">     значения наблюдаемых КУ на циркуляции, с ее окончанием штурман полу-</t>
  </si>
  <si>
    <t xml:space="preserve">     чит результат и оценку качества проведенных работ и в случае неудовлет-</t>
  </si>
  <si>
    <t xml:space="preserve">     ворительного итога сможет повторить работы не возвращаясь в базу.</t>
  </si>
  <si>
    <t xml:space="preserve">     С возвращением в базу у штурмана сразу будет готов отчет о выполненных</t>
  </si>
  <si>
    <t xml:space="preserve">      радиодевиационных работах.</t>
  </si>
  <si>
    <t>Слушатель 201-Н группы : ст. л-т.                                   Т. Постоян.</t>
  </si>
  <si>
    <t xml:space="preserve">8.  Данная программа позволит в реальном масштабе времени с окончанием </t>
  </si>
  <si>
    <t xml:space="preserve">      см. п.б) и программа автоматически произведет расчет радио девиации и</t>
  </si>
  <si>
    <t xml:space="preserve">    П Р И К А З</t>
  </si>
  <si>
    <t>КОМАНДИРА ВОЙСКОВОЙ ЧАСТИ 30955</t>
  </si>
  <si>
    <t>№11</t>
  </si>
  <si>
    <t>05января 2001г.</t>
  </si>
  <si>
    <t>СЕВАСТОПОЛЬ</t>
  </si>
  <si>
    <t xml:space="preserve">            г.</t>
  </si>
  <si>
    <t>О НАЗНАЧЕНИИ ЛИЧНОГО СОС-</t>
  </si>
  <si>
    <t>ТАВА РАДИОДЕВИАЦИОННОГО</t>
  </si>
  <si>
    <t xml:space="preserve">             "</t>
  </si>
  <si>
    <t>РАСЧЕТА ."</t>
  </si>
  <si>
    <t xml:space="preserve">      работы на кораблях Военно-Морского Флота" для качественного проведе-</t>
  </si>
  <si>
    <t xml:space="preserve">      радиодевиационных работ и заблаговременной подготовки л/с</t>
  </si>
  <si>
    <t>П Р И К А З Ы В А Ю:</t>
  </si>
  <si>
    <t>Оператор на пеленгаторном репитере (для имерения визуальных КУ)</t>
  </si>
  <si>
    <t xml:space="preserve">           2)</t>
  </si>
  <si>
    <t xml:space="preserve">           1)</t>
  </si>
  <si>
    <t xml:space="preserve">         -- Безполезный мичман типа "фельдшер" или КЭНГ(ИРНГ)</t>
  </si>
  <si>
    <t xml:space="preserve">           3)</t>
  </si>
  <si>
    <t xml:space="preserve">Вахтенный офицер </t>
  </si>
  <si>
    <t xml:space="preserve">         -- Наиболее подготовленный </t>
  </si>
  <si>
    <t xml:space="preserve">           4)</t>
  </si>
  <si>
    <t>Оператор на радиопеленгаторе (для измерения РКУ)</t>
  </si>
  <si>
    <t>Номер на связи между операторами постов пеленгования</t>
  </si>
  <si>
    <t xml:space="preserve">         -- Матрос БЧ-1(любой другой БЧ)</t>
  </si>
  <si>
    <t xml:space="preserve">           5)</t>
  </si>
  <si>
    <t>Номер на записи измеренных РКУ и КУ</t>
  </si>
  <si>
    <t xml:space="preserve">          -- Матрос или мичман</t>
  </si>
  <si>
    <t xml:space="preserve">           6)</t>
  </si>
  <si>
    <t>Электрик штурманский на эхолоте</t>
  </si>
  <si>
    <t xml:space="preserve">         -- Командир БЧ-1 </t>
  </si>
  <si>
    <t xml:space="preserve">          -- Ст. электрик штурманский : ст.м-с.  П…….н. </t>
  </si>
  <si>
    <t xml:space="preserve">     2.</t>
  </si>
  <si>
    <t>Общее руководство подготовкой л/с радиодевиационного расчета</t>
  </si>
  <si>
    <t xml:space="preserve">возложить на  СПК. </t>
  </si>
  <si>
    <t xml:space="preserve">     3.</t>
  </si>
  <si>
    <r>
      <t xml:space="preserve">      </t>
    </r>
    <r>
      <rPr>
        <sz val="14"/>
        <rFont val="Arial Cyr"/>
        <family val="2"/>
      </rPr>
      <t>1.</t>
    </r>
    <r>
      <rPr>
        <sz val="12"/>
        <rFont val="Arial Cyr"/>
        <family val="2"/>
      </rPr>
      <t xml:space="preserve">        Назначить личный состав радиодевиационного расчета в составе:</t>
    </r>
  </si>
  <si>
    <t>Ответственным за специальную подготовку личного состава расчета</t>
  </si>
  <si>
    <t>назначить Командира БЧ-1.</t>
  </si>
  <si>
    <t xml:space="preserve">КОМАНДИР ВОЙСКОВОЙ ЧАСТИ 30955 </t>
  </si>
  <si>
    <t>КАПИТАН-ЛЕЙТЕНАНТ :-                                          К.ЧУМАК.</t>
  </si>
  <si>
    <t>05 марта 2001г.</t>
  </si>
  <si>
    <t>О   ДОПУСКЕ  ЛИЧНОГО   СОС-</t>
  </si>
  <si>
    <t>РАСЧЕТА К ВЫПОЛНЕНИЮ Р/Д</t>
  </si>
  <si>
    <t>РАБОТ."</t>
  </si>
  <si>
    <t xml:space="preserve">      На основании проведенных занятий , тренировок и ученний , а также приня-    </t>
  </si>
  <si>
    <t xml:space="preserve">      тых зачетов по организации проведения радиодевиационных работ от л/с</t>
  </si>
  <si>
    <t xml:space="preserve">      радиодевиационного расчета </t>
  </si>
  <si>
    <r>
      <t xml:space="preserve">      </t>
    </r>
    <r>
      <rPr>
        <sz val="14"/>
        <rFont val="Arial Cyr"/>
        <family val="2"/>
      </rPr>
      <t>1.</t>
    </r>
    <r>
      <rPr>
        <sz val="12"/>
        <rFont val="Arial Cyr"/>
        <family val="2"/>
      </rPr>
      <t xml:space="preserve">      Допустить личный состав радиодевиационного расчета в составе:</t>
    </r>
  </si>
  <si>
    <t>к самостоятельному исполнению своих обязанностей в составе р/д</t>
  </si>
  <si>
    <t>расчета.</t>
  </si>
  <si>
    <t>На момент непосредственной подготовки л/с расчета к р/д работам</t>
  </si>
  <si>
    <t>освободить л/с указанный в п.1 от исполнения других обязанностей.</t>
  </si>
  <si>
    <t>Руководство действиями л/с расчета возложить на Командира БЧ-1.</t>
  </si>
  <si>
    <t>№111</t>
  </si>
  <si>
    <t xml:space="preserve">   </t>
  </si>
  <si>
    <t xml:space="preserve">      к исполнению обязанностей в составе расчета".</t>
  </si>
  <si>
    <t xml:space="preserve">     девиационных работах на корабле в море(при наличии на борту ПЭВМ)</t>
  </si>
  <si>
    <t>§</t>
  </si>
  <si>
    <t xml:space="preserve">     для оценки §29 ПШС№32); </t>
  </si>
  <si>
    <t xml:space="preserve">     (основание для расчета коэффициентов Гл.3 §12 ПШС№32, </t>
  </si>
  <si>
    <t>"Румб" (основание §13 ПШС№32).</t>
  </si>
  <si>
    <t xml:space="preserve">      ний  на медленной циркуляции (мнение сформировано на анализе §25п.3 и</t>
  </si>
  <si>
    <t xml:space="preserve">      §28 ПШС №32).</t>
  </si>
  <si>
    <t xml:space="preserve">     §29 ПШС № 32.</t>
  </si>
  <si>
    <t xml:space="preserve">     на основании табл.7 §29 ПШС № 32.</t>
  </si>
  <si>
    <t xml:space="preserve">      ция (основание §28,приложение 8 ПШС №32 и бланк Ш-22 изд. ГУНиО МО).</t>
  </si>
  <si>
    <t xml:space="preserve">      из оценок (основание §29 ПШС №32).</t>
  </si>
  <si>
    <t xml:space="preserve">      На основании требований §24 п.1 ПШС № 32 (1993г.)"Радиодевиационные    </t>
  </si>
  <si>
    <t>3.   В разделе "ОСТАТОЧНАЯ"  производятся вычисления расчетной и осред-</t>
  </si>
  <si>
    <t xml:space="preserve">      таточных коэффициентов А и Д и разницы между наблюденной и расчетной</t>
  </si>
  <si>
    <t xml:space="preserve">      радиодевиацией.</t>
  </si>
  <si>
    <t xml:space="preserve">      Для экспресс контроля на экран выводится график наблюденной и расчет-</t>
  </si>
  <si>
    <t xml:space="preserve">      ной радиодевиации.</t>
  </si>
  <si>
    <t>fрасч.</t>
  </si>
  <si>
    <t xml:space="preserve"> Расчетная радиодевиация                                     </t>
  </si>
  <si>
    <t>град.При необходимости можно вывести данные набл.и расч. радиодевиации</t>
  </si>
  <si>
    <t>Итоговая оценка разности между наблюденной и расчетной радиодевиацией: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</si>
</sst>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color indexed="9"/>
      <name val="Arial Cyr"/>
      <family val="2"/>
    </font>
    <font>
      <b/>
      <sz val="10"/>
      <color indexed="26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24"/>
      <color indexed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8"/>
      <color indexed="12"/>
      <name val="Arial Cyr"/>
      <family val="2"/>
    </font>
    <font>
      <sz val="14"/>
      <color indexed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sz val="18"/>
      <name val="Arial Cyr"/>
      <family val="2"/>
    </font>
    <font>
      <sz val="20"/>
      <color indexed="9"/>
      <name val="Arial Cyr"/>
      <family val="2"/>
    </font>
    <font>
      <sz val="10"/>
      <color indexed="11"/>
      <name val="Arial Cyr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b/>
      <sz val="10"/>
      <color indexed="9"/>
      <name val="Arial Cyr"/>
      <family val="2"/>
    </font>
    <font>
      <sz val="12"/>
      <color indexed="9"/>
      <name val="Arial Cyr"/>
      <family val="2"/>
    </font>
    <font>
      <sz val="14"/>
      <color indexed="42"/>
      <name val="Arial Cyr"/>
      <family val="2"/>
    </font>
    <font>
      <b/>
      <sz val="22"/>
      <color indexed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24"/>
      <name val="Arial Cyr"/>
      <family val="2"/>
    </font>
    <font>
      <b/>
      <sz val="8"/>
      <color indexed="10"/>
      <name val="Arial Cyr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80" fontId="0" fillId="4" borderId="11" xfId="0" applyNumberFormat="1" applyFill="1" applyBorder="1" applyAlignment="1">
      <alignment horizontal="center"/>
    </xf>
    <xf numFmtId="180" fontId="0" fillId="4" borderId="12" xfId="0" applyNumberFormat="1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80" fontId="12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80" fontId="1" fillId="7" borderId="4" xfId="0" applyNumberFormat="1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80" fontId="12" fillId="7" borderId="6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80" fontId="1" fillId="7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180" fontId="12" fillId="7" borderId="8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80" fontId="1" fillId="7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3" fillId="7" borderId="10" xfId="0" applyNumberFormat="1" applyFont="1" applyFill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ont="1" applyFill="1" applyBorder="1" applyAlignment="1">
      <alignment/>
    </xf>
    <xf numFmtId="0" fontId="0" fillId="8" borderId="29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8" fillId="5" borderId="32" xfId="0" applyFont="1" applyFill="1" applyBorder="1" applyAlignment="1" quotePrefix="1">
      <alignment/>
    </xf>
    <xf numFmtId="0" fontId="25" fillId="5" borderId="33" xfId="0" applyFont="1" applyFill="1" applyBorder="1" applyAlignment="1" quotePrefix="1">
      <alignment/>
    </xf>
    <xf numFmtId="0" fontId="24" fillId="5" borderId="6" xfId="0" applyFon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0" fontId="9" fillId="3" borderId="10" xfId="0" applyNumberFormat="1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9" fillId="3" borderId="4" xfId="0" applyFont="1" applyFill="1" applyBorder="1" applyAlignment="1">
      <alignment horizontal="left" vertical="center"/>
    </xf>
    <xf numFmtId="0" fontId="13" fillId="7" borderId="14" xfId="0" applyFont="1" applyFill="1" applyBorder="1" applyAlignment="1">
      <alignment/>
    </xf>
    <xf numFmtId="0" fontId="19" fillId="3" borderId="31" xfId="0" applyFont="1" applyFill="1" applyBorder="1" applyAlignment="1">
      <alignment horizontal="left" vertical="center"/>
    </xf>
    <xf numFmtId="0" fontId="27" fillId="7" borderId="1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0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80" fontId="0" fillId="5" borderId="8" xfId="0" applyNumberForma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180" fontId="8" fillId="3" borderId="33" xfId="0" applyNumberFormat="1" applyFont="1" applyFill="1" applyBorder="1" applyAlignment="1" applyProtection="1">
      <alignment horizontal="center"/>
      <protection locked="0"/>
    </xf>
    <xf numFmtId="180" fontId="8" fillId="3" borderId="3" xfId="0" applyNumberFormat="1" applyFont="1" applyFill="1" applyBorder="1" applyAlignment="1" applyProtection="1">
      <alignment horizontal="center"/>
      <protection locked="0"/>
    </xf>
    <xf numFmtId="180" fontId="8" fillId="3" borderId="6" xfId="0" applyNumberFormat="1" applyFont="1" applyFill="1" applyBorder="1" applyAlignment="1" applyProtection="1">
      <alignment horizontal="center"/>
      <protection locked="0"/>
    </xf>
    <xf numFmtId="180" fontId="0" fillId="5" borderId="8" xfId="0" applyNumberFormat="1" applyFill="1" applyBorder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44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80" fontId="18" fillId="10" borderId="11" xfId="0" applyNumberFormat="1" applyFont="1" applyFill="1" applyBorder="1" applyAlignment="1">
      <alignment horizontal="center"/>
    </xf>
    <xf numFmtId="180" fontId="18" fillId="10" borderId="12" xfId="0" applyNumberFormat="1" applyFont="1" applyFill="1" applyBorder="1" applyAlignment="1">
      <alignment horizontal="center"/>
    </xf>
    <xf numFmtId="180" fontId="18" fillId="10" borderId="21" xfId="0" applyNumberFormat="1" applyFont="1" applyFill="1" applyBorder="1" applyAlignment="1">
      <alignment horizontal="center"/>
    </xf>
    <xf numFmtId="180" fontId="18" fillId="10" borderId="19" xfId="0" applyNumberFormat="1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2" fontId="0" fillId="6" borderId="31" xfId="0" applyNumberFormat="1" applyFill="1" applyBorder="1" applyAlignment="1">
      <alignment horizontal="center"/>
    </xf>
    <xf numFmtId="0" fontId="33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1" fillId="5" borderId="38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1" fillId="5" borderId="42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20" fillId="8" borderId="50" xfId="0" applyFont="1" applyFill="1" applyBorder="1" applyAlignment="1">
      <alignment horizontal="center"/>
    </xf>
    <xf numFmtId="0" fontId="15" fillId="8" borderId="43" xfId="0" applyFont="1" applyFill="1" applyBorder="1" applyAlignment="1">
      <alignment horizontal="center"/>
    </xf>
    <xf numFmtId="0" fontId="15" fillId="8" borderId="44" xfId="0" applyFont="1" applyFill="1" applyBorder="1" applyAlignment="1">
      <alignment horizontal="center"/>
    </xf>
    <xf numFmtId="0" fontId="15" fillId="8" borderId="42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22" fillId="5" borderId="3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2" borderId="39" xfId="0" applyFont="1" applyFill="1" applyBorder="1" applyAlignment="1">
      <alignment horizontal="center"/>
    </xf>
    <xf numFmtId="0" fontId="23" fillId="2" borderId="40" xfId="0" applyFont="1" applyFill="1" applyBorder="1" applyAlignment="1">
      <alignment horizontal="center"/>
    </xf>
    <xf numFmtId="0" fontId="20" fillId="8" borderId="43" xfId="0" applyFont="1" applyFill="1" applyBorder="1" applyAlignment="1">
      <alignment horizontal="center"/>
    </xf>
    <xf numFmtId="0" fontId="20" fillId="8" borderId="44" xfId="0" applyFont="1" applyFill="1" applyBorder="1" applyAlignment="1">
      <alignment horizontal="center"/>
    </xf>
    <xf numFmtId="0" fontId="20" fillId="8" borderId="42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20" fillId="8" borderId="22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3" borderId="54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0" fillId="9" borderId="42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5" borderId="37" xfId="0" applyFont="1" applyFill="1" applyBorder="1" applyAlignment="1">
      <alignment horizontal="center"/>
    </xf>
    <xf numFmtId="0" fontId="15" fillId="5" borderId="55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5" fillId="5" borderId="56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0" fillId="9" borderId="29" xfId="0" applyFont="1" applyFill="1" applyBorder="1" applyAlignment="1">
      <alignment horizontal="center"/>
    </xf>
    <xf numFmtId="0" fontId="0" fillId="9" borderId="30" xfId="0" applyFont="1" applyFill="1" applyBorder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2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1" fillId="11" borderId="29" xfId="0" applyFont="1" applyFill="1" applyBorder="1" applyAlignment="1">
      <alignment horizontal="center"/>
    </xf>
    <xf numFmtId="0" fontId="11" fillId="11" borderId="30" xfId="0" applyFont="1" applyFill="1" applyBorder="1" applyAlignment="1">
      <alignment horizontal="center"/>
    </xf>
    <xf numFmtId="0" fontId="0" fillId="3" borderId="5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56" xfId="0" applyFont="1" applyFill="1" applyBorder="1" applyAlignment="1">
      <alignment horizontal="center"/>
    </xf>
    <xf numFmtId="0" fontId="34" fillId="5" borderId="45" xfId="0" applyFont="1" applyFill="1" applyBorder="1" applyAlignment="1" applyProtection="1">
      <alignment horizontal="center" vertical="center"/>
      <protection hidden="1"/>
    </xf>
    <xf numFmtId="0" fontId="34" fillId="5" borderId="47" xfId="0" applyFont="1" applyFill="1" applyBorder="1" applyAlignment="1" applyProtection="1">
      <alignment horizontal="center" vertical="center"/>
      <protection hidden="1"/>
    </xf>
    <xf numFmtId="0" fontId="0" fillId="12" borderId="45" xfId="0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0" fontId="15" fillId="9" borderId="43" xfId="0" applyFont="1" applyFill="1" applyBorder="1" applyAlignment="1">
      <alignment horizontal="center"/>
    </xf>
    <xf numFmtId="0" fontId="15" fillId="9" borderId="44" xfId="0" applyFont="1" applyFill="1" applyBorder="1" applyAlignment="1">
      <alignment horizontal="center"/>
    </xf>
    <xf numFmtId="0" fontId="15" fillId="9" borderId="39" xfId="0" applyFont="1" applyFill="1" applyBorder="1" applyAlignment="1">
      <alignment horizontal="center"/>
    </xf>
    <xf numFmtId="0" fontId="15" fillId="9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0" fillId="13" borderId="54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3" borderId="57" xfId="0" applyFill="1" applyBorder="1" applyAlignment="1">
      <alignment horizontal="center"/>
    </xf>
    <xf numFmtId="0" fontId="0" fillId="13" borderId="52" xfId="0" applyFill="1" applyBorder="1" applyAlignment="1">
      <alignment horizontal="center"/>
    </xf>
    <xf numFmtId="0" fontId="0" fillId="13" borderId="58" xfId="0" applyFill="1" applyBorder="1" applyAlignment="1">
      <alignment horizontal="center"/>
    </xf>
    <xf numFmtId="0" fontId="0" fillId="13" borderId="57" xfId="0" applyFill="1" applyBorder="1" applyAlignment="1">
      <alignment horizontal="left"/>
    </xf>
    <xf numFmtId="0" fontId="0" fillId="13" borderId="52" xfId="0" applyFill="1" applyBorder="1" applyAlignment="1">
      <alignment horizontal="left"/>
    </xf>
    <xf numFmtId="0" fontId="0" fillId="13" borderId="58" xfId="0" applyFill="1" applyBorder="1" applyAlignment="1">
      <alignment horizontal="left"/>
    </xf>
    <xf numFmtId="0" fontId="28" fillId="0" borderId="0" xfId="0" applyFont="1" applyBorder="1" applyAlignment="1" applyProtection="1" quotePrefix="1">
      <alignment horizontal="center"/>
      <protection hidden="1"/>
    </xf>
    <xf numFmtId="0" fontId="7" fillId="0" borderId="0" xfId="0" applyFont="1" applyBorder="1" applyAlignment="1">
      <alignment horizontal="center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6" fillId="0" borderId="0" xfId="0" applyFont="1" applyBorder="1" applyAlignment="1" applyProtection="1" quotePrefix="1">
      <alignment horizontal="left"/>
      <protection hidden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00FF"/>
      </font>
      <border/>
    </dxf>
    <dxf>
      <font>
        <color rgb="FF3333CC"/>
      </font>
      <border/>
    </dxf>
    <dxf>
      <font>
        <color rgb="FF3399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5375"/>
          <c:w val="0.9805"/>
          <c:h val="0.82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Остаточная!$E$2:$E$38</c:f>
              <c:numCache/>
            </c:numRef>
          </c:cat>
          <c:val>
            <c:numRef>
              <c:f>Остаточная!$F$2:$F$38</c:f>
              <c:numCache/>
            </c:numRef>
          </c: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Остаточная!$E$2:$E$38</c:f>
              <c:numCache/>
            </c:numRef>
          </c:cat>
          <c:val>
            <c:numRef>
              <c:f>Остаточная!$G$2:$G$38</c:f>
              <c:numCache/>
            </c:numRef>
          </c:val>
          <c:smooth val="1"/>
        </c:ser>
        <c:axId val="63967362"/>
        <c:axId val="59959003"/>
      </c:lineChart>
      <c:catAx>
        <c:axId val="6396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59003"/>
        <c:crosses val="autoZero"/>
        <c:auto val="0"/>
        <c:lblOffset val="100"/>
        <c:noMultiLvlLbl val="0"/>
      </c:catAx>
      <c:valAx>
        <c:axId val="59959003"/>
        <c:scaling>
          <c:orientation val="minMax"/>
          <c:min val="-3"/>
        </c:scaling>
        <c:axPos val="l"/>
        <c:delete val="0"/>
        <c:numFmt formatCode="General" sourceLinked="1"/>
        <c:majorTickMark val="in"/>
        <c:minorTickMark val="none"/>
        <c:tickLblPos val="nextTo"/>
        <c:crossAx val="63967362"/>
        <c:crossesAt val="1"/>
        <c:crossBetween val="midCat"/>
        <c:dispUnits/>
        <c:majorUnit val="1.5141"/>
        <c:minorUnit val="1.514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35"/>
          <c:w val="0.91625"/>
          <c:h val="0.97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Остаточная!$E$2:$E$38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cat>
          <c:val>
            <c:numRef>
              <c:f>Остаточная!$F$2:$F$38</c:f>
              <c:numCache>
                <c:ptCount val="37"/>
                <c:pt idx="0">
                  <c:v>-2</c:v>
                </c:pt>
                <c:pt idx="1">
                  <c:v>-2.3</c:v>
                </c:pt>
                <c:pt idx="2">
                  <c:v>-2.6000000000000014</c:v>
                </c:pt>
                <c:pt idx="3">
                  <c:v>-2.6000000000000014</c:v>
                </c:pt>
                <c:pt idx="4">
                  <c:v>-2.5</c:v>
                </c:pt>
                <c:pt idx="5">
                  <c:v>-2.200000000000003</c:v>
                </c:pt>
                <c:pt idx="6">
                  <c:v>-1.7999999999999972</c:v>
                </c:pt>
                <c:pt idx="7">
                  <c:v>-1.2999999999999972</c:v>
                </c:pt>
                <c:pt idx="8">
                  <c:v>-0.7999999999999972</c:v>
                </c:pt>
                <c:pt idx="9">
                  <c:v>0</c:v>
                </c:pt>
                <c:pt idx="10">
                  <c:v>0.9000000000000057</c:v>
                </c:pt>
                <c:pt idx="11">
                  <c:v>1.5999999999999943</c:v>
                </c:pt>
                <c:pt idx="12">
                  <c:v>1.7000000000000028</c:v>
                </c:pt>
                <c:pt idx="13">
                  <c:v>1.4000000000000057</c:v>
                </c:pt>
                <c:pt idx="14">
                  <c:v>0.8000000000000114</c:v>
                </c:pt>
                <c:pt idx="15">
                  <c:v>0.19999999999998863</c:v>
                </c:pt>
                <c:pt idx="16">
                  <c:v>-0.5</c:v>
                </c:pt>
                <c:pt idx="17">
                  <c:v>-1</c:v>
                </c:pt>
                <c:pt idx="18">
                  <c:v>-1.5</c:v>
                </c:pt>
                <c:pt idx="19">
                  <c:v>-1.6999999999999886</c:v>
                </c:pt>
                <c:pt idx="20">
                  <c:v>-2</c:v>
                </c:pt>
                <c:pt idx="21">
                  <c:v>-1.5999999999999943</c:v>
                </c:pt>
                <c:pt idx="22">
                  <c:v>-1.3000000000000114</c:v>
                </c:pt>
                <c:pt idx="23">
                  <c:v>-0.8000000000000114</c:v>
                </c:pt>
                <c:pt idx="24">
                  <c:v>-0.19999999999998863</c:v>
                </c:pt>
                <c:pt idx="25">
                  <c:v>0.5</c:v>
                </c:pt>
                <c:pt idx="26">
                  <c:v>1.3000000000000114</c:v>
                </c:pt>
                <c:pt idx="27">
                  <c:v>1.8999999999999773</c:v>
                </c:pt>
                <c:pt idx="28">
                  <c:v>2.1000000000000227</c:v>
                </c:pt>
                <c:pt idx="29">
                  <c:v>1.8999999999999773</c:v>
                </c:pt>
                <c:pt idx="30">
                  <c:v>1.1999999999999886</c:v>
                </c:pt>
                <c:pt idx="31">
                  <c:v>0.19999999999998863</c:v>
                </c:pt>
                <c:pt idx="32">
                  <c:v>-0.5</c:v>
                </c:pt>
                <c:pt idx="33">
                  <c:v>-1</c:v>
                </c:pt>
                <c:pt idx="34">
                  <c:v>-1.5</c:v>
                </c:pt>
                <c:pt idx="35">
                  <c:v>-1.8000000000000114</c:v>
                </c:pt>
                <c:pt idx="36">
                  <c:v>-2</c:v>
                </c:pt>
              </c:numCache>
            </c:numRef>
          </c:val>
          <c:smooth val="1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Остаточная!$E$2:$E$38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cat>
          <c:val>
            <c:numRef>
              <c:f>Остаточная!$J$2:$J$38</c:f>
              <c:numCache>
                <c:ptCount val="37"/>
                <c:pt idx="0">
                  <c:v>-2.2478683549161205</c:v>
                </c:pt>
                <c:pt idx="1">
                  <c:v>-2.5044373620649862</c:v>
                </c:pt>
                <c:pt idx="2">
                  <c:v>-2.69044860287784</c:v>
                </c:pt>
                <c:pt idx="3">
                  <c:v>-2.671582048450538</c:v>
                </c:pt>
                <c:pt idx="4">
                  <c:v>-2.5452475129875864</c:v>
                </c:pt>
                <c:pt idx="5">
                  <c:v>-2.2437488355115907</c:v>
                </c:pt>
                <c:pt idx="6">
                  <c:v>-1.7991640259282637</c:v>
                </c:pt>
                <c:pt idx="7">
                  <c:v>-1.212177959780912</c:v>
                </c:pt>
                <c:pt idx="8">
                  <c:v>-0.5648036082429361</c:v>
                </c:pt>
                <c:pt idx="9">
                  <c:v>0.23051298076559937</c:v>
                </c:pt>
                <c:pt idx="10">
                  <c:v>0.9966513205478047</c:v>
                </c:pt>
                <c:pt idx="11">
                  <c:v>1.5166450678283876</c:v>
                </c:pt>
                <c:pt idx="12">
                  <c:v>1.5572675107913958</c:v>
                </c:pt>
                <c:pt idx="13">
                  <c:v>1.2312114177650035</c:v>
                </c:pt>
                <c:pt idx="14">
                  <c:v>0.6425028826417308</c:v>
                </c:pt>
                <c:pt idx="15">
                  <c:v>0.01706035192281191</c:v>
                </c:pt>
                <c:pt idx="16">
                  <c:v>-0.6232822121028094</c:v>
                </c:pt>
                <c:pt idx="17">
                  <c:v>-1.0823578049632472</c:v>
                </c:pt>
                <c:pt idx="18">
                  <c:v>-1.448277433488308</c:v>
                </c:pt>
                <c:pt idx="19">
                  <c:v>-1.5866734845563102</c:v>
                </c:pt>
                <c:pt idx="20">
                  <c:v>-1.723282212102806</c:v>
                </c:pt>
                <c:pt idx="21">
                  <c:v>-1.4752846575903549</c:v>
                </c:pt>
                <c:pt idx="22">
                  <c:v>-1.2409757659200717</c:v>
                </c:pt>
                <c:pt idx="23">
                  <c:v>-0.8529016728926805</c:v>
                </c:pt>
                <c:pt idx="24">
                  <c:v>-0.34273248920859534</c:v>
                </c:pt>
                <c:pt idx="25">
                  <c:v>0.2898926109666592</c:v>
                </c:pt>
                <c:pt idx="26">
                  <c:v>1.014612386902793</c:v>
                </c:pt>
                <c:pt idx="27">
                  <c:v>1.621188363194382</c:v>
                </c:pt>
                <c:pt idx="28">
                  <c:v>1.9351963917570805</c:v>
                </c:pt>
                <c:pt idx="29">
                  <c:v>1.8927733071414983</c:v>
                </c:pt>
                <c:pt idx="30">
                  <c:v>1.4141081260832409</c:v>
                </c:pt>
                <c:pt idx="31">
                  <c:v>0.615518111003897</c:v>
                </c:pt>
                <c:pt idx="32">
                  <c:v>-0.14524751298758334</c:v>
                </c:pt>
                <c:pt idx="33">
                  <c:v>-0.8385616565085683</c:v>
                </c:pt>
                <c:pt idx="34">
                  <c:v>-1.4890088879610628</c:v>
                </c:pt>
                <c:pt idx="35">
                  <c:v>-1.947076728269048</c:v>
                </c:pt>
                <c:pt idx="36">
                  <c:v>-2.2478683549161205</c:v>
                </c:pt>
              </c:numCache>
            </c:numRef>
          </c:val>
          <c:smooth val="1"/>
        </c:ser>
        <c:ser>
          <c:idx val="1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Остаточная!$E$2:$E$38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cat>
          <c:val>
            <c:numRef>
              <c:f>Остаточная!$G$2:$G$38</c:f>
              <c:numCache>
                <c:ptCount val="37"/>
                <c:pt idx="0">
                  <c:v>-2.495736709832241</c:v>
                </c:pt>
                <c:pt idx="1">
                  <c:v>-2.708874724129973</c:v>
                </c:pt>
                <c:pt idx="2">
                  <c:v>-2.7808972057556782</c:v>
                </c:pt>
                <c:pt idx="3">
                  <c:v>-2.743164096901075</c:v>
                </c:pt>
                <c:pt idx="4">
                  <c:v>-2.5904950259751733</c:v>
                </c:pt>
                <c:pt idx="5">
                  <c:v>-2.2874976710231785</c:v>
                </c:pt>
                <c:pt idx="6">
                  <c:v>-1.7983280518565306</c:v>
                </c:pt>
                <c:pt idx="7">
                  <c:v>-1.1243559195618267</c:v>
                </c:pt>
                <c:pt idx="8">
                  <c:v>-0.329607216485875</c:v>
                </c:pt>
                <c:pt idx="9">
                  <c:v>0.46102596153119874</c:v>
                </c:pt>
                <c:pt idx="10">
                  <c:v>1.0933026410956037</c:v>
                </c:pt>
                <c:pt idx="11">
                  <c:v>1.4332901356567809</c:v>
                </c:pt>
                <c:pt idx="12">
                  <c:v>1.414535021582789</c:v>
                </c:pt>
                <c:pt idx="13">
                  <c:v>1.0624228355300014</c:v>
                </c:pt>
                <c:pt idx="14">
                  <c:v>0.48500576528345035</c:v>
                </c:pt>
                <c:pt idx="15">
                  <c:v>-0.1658792961543648</c:v>
                </c:pt>
                <c:pt idx="16">
                  <c:v>-0.746564424205619</c:v>
                </c:pt>
                <c:pt idx="17">
                  <c:v>-1.1647156099264944</c:v>
                </c:pt>
                <c:pt idx="18">
                  <c:v>-1.396554866976616</c:v>
                </c:pt>
                <c:pt idx="19">
                  <c:v>-1.4733469691126317</c:v>
                </c:pt>
                <c:pt idx="20">
                  <c:v>-1.446564424205612</c:v>
                </c:pt>
                <c:pt idx="21">
                  <c:v>-1.3505693151807154</c:v>
                </c:pt>
                <c:pt idx="22">
                  <c:v>-1.1819515318401321</c:v>
                </c:pt>
                <c:pt idx="23">
                  <c:v>-0.9058033457853496</c:v>
                </c:pt>
                <c:pt idx="24">
                  <c:v>-0.48546497841720204</c:v>
                </c:pt>
                <c:pt idx="25">
                  <c:v>0.07978522193331838</c:v>
                </c:pt>
                <c:pt idx="26">
                  <c:v>0.7292247738055744</c:v>
                </c:pt>
                <c:pt idx="27">
                  <c:v>1.3423767263887867</c:v>
                </c:pt>
                <c:pt idx="28">
                  <c:v>1.7703927835141382</c:v>
                </c:pt>
                <c:pt idx="29">
                  <c:v>1.8855466142830193</c:v>
                </c:pt>
                <c:pt idx="30">
                  <c:v>1.628216252166493</c:v>
                </c:pt>
                <c:pt idx="31">
                  <c:v>1.0310362220078053</c:v>
                </c:pt>
                <c:pt idx="32">
                  <c:v>0.2095049740248333</c:v>
                </c:pt>
                <c:pt idx="33">
                  <c:v>-0.6771233130171367</c:v>
                </c:pt>
                <c:pt idx="34">
                  <c:v>-1.4780177759221256</c:v>
                </c:pt>
                <c:pt idx="35">
                  <c:v>-2.0941534565380846</c:v>
                </c:pt>
                <c:pt idx="36">
                  <c:v>-2.495736709832241</c:v>
                </c:pt>
              </c:numCache>
            </c:numRef>
          </c:val>
          <c:smooth val="1"/>
        </c:ser>
        <c:axId val="13800576"/>
        <c:axId val="17046145"/>
      </c:lineChart>
      <c:catAx>
        <c:axId val="1380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46145"/>
        <c:crosses val="autoZero"/>
        <c:auto val="0"/>
        <c:lblOffset val="100"/>
        <c:noMultiLvlLbl val="0"/>
      </c:catAx>
      <c:valAx>
        <c:axId val="170461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00576"/>
        <c:crossesAt val="1"/>
        <c:crossBetween val="midCat"/>
        <c:dispUnits/>
      </c:valAx>
      <c:spPr>
        <a:solidFill>
          <a:srgbClr val="FFFF0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225"/>
          <c:w val="0.958"/>
          <c:h val="0.9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Остаточная!$E$2:$E$38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cat>
          <c:val>
            <c:numRef>
              <c:f>Остаточная!$F$2:$F$38</c:f>
              <c:numCache>
                <c:ptCount val="37"/>
                <c:pt idx="0">
                  <c:v>-2</c:v>
                </c:pt>
                <c:pt idx="1">
                  <c:v>-2.3</c:v>
                </c:pt>
                <c:pt idx="2">
                  <c:v>-2.6000000000000014</c:v>
                </c:pt>
                <c:pt idx="3">
                  <c:v>-2.6000000000000014</c:v>
                </c:pt>
                <c:pt idx="4">
                  <c:v>-2.5</c:v>
                </c:pt>
                <c:pt idx="5">
                  <c:v>-2.200000000000003</c:v>
                </c:pt>
                <c:pt idx="6">
                  <c:v>-1.7999999999999972</c:v>
                </c:pt>
                <c:pt idx="7">
                  <c:v>-1.2999999999999972</c:v>
                </c:pt>
                <c:pt idx="8">
                  <c:v>-0.7999999999999972</c:v>
                </c:pt>
                <c:pt idx="9">
                  <c:v>0</c:v>
                </c:pt>
                <c:pt idx="10">
                  <c:v>0.9000000000000057</c:v>
                </c:pt>
                <c:pt idx="11">
                  <c:v>1.5999999999999943</c:v>
                </c:pt>
                <c:pt idx="12">
                  <c:v>1.7000000000000028</c:v>
                </c:pt>
                <c:pt idx="13">
                  <c:v>1.4000000000000057</c:v>
                </c:pt>
                <c:pt idx="14">
                  <c:v>0.8000000000000114</c:v>
                </c:pt>
                <c:pt idx="15">
                  <c:v>0.19999999999998863</c:v>
                </c:pt>
                <c:pt idx="16">
                  <c:v>-0.5</c:v>
                </c:pt>
                <c:pt idx="17">
                  <c:v>-1</c:v>
                </c:pt>
                <c:pt idx="18">
                  <c:v>-1.5</c:v>
                </c:pt>
                <c:pt idx="19">
                  <c:v>-1.6999999999999886</c:v>
                </c:pt>
                <c:pt idx="20">
                  <c:v>-2</c:v>
                </c:pt>
                <c:pt idx="21">
                  <c:v>-1.5999999999999943</c:v>
                </c:pt>
                <c:pt idx="22">
                  <c:v>-1.3000000000000114</c:v>
                </c:pt>
                <c:pt idx="23">
                  <c:v>-0.8000000000000114</c:v>
                </c:pt>
                <c:pt idx="24">
                  <c:v>-0.19999999999998863</c:v>
                </c:pt>
                <c:pt idx="25">
                  <c:v>0.5</c:v>
                </c:pt>
                <c:pt idx="26">
                  <c:v>1.3000000000000114</c:v>
                </c:pt>
                <c:pt idx="27">
                  <c:v>1.8999999999999773</c:v>
                </c:pt>
                <c:pt idx="28">
                  <c:v>2.1000000000000227</c:v>
                </c:pt>
                <c:pt idx="29">
                  <c:v>1.8999999999999773</c:v>
                </c:pt>
                <c:pt idx="30">
                  <c:v>1.1999999999999886</c:v>
                </c:pt>
                <c:pt idx="31">
                  <c:v>0.19999999999998863</c:v>
                </c:pt>
                <c:pt idx="32">
                  <c:v>-0.5</c:v>
                </c:pt>
                <c:pt idx="33">
                  <c:v>-1</c:v>
                </c:pt>
                <c:pt idx="34">
                  <c:v>-1.5</c:v>
                </c:pt>
                <c:pt idx="35">
                  <c:v>-1.8000000000000114</c:v>
                </c:pt>
                <c:pt idx="36">
                  <c:v>-2</c:v>
                </c:pt>
              </c:numCache>
            </c:numRef>
          </c:val>
          <c:smooth val="1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Остаточная!$E$2:$E$38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cat>
          <c:val>
            <c:numRef>
              <c:f>Остаточная!$J$2:$J$38</c:f>
              <c:numCache>
                <c:ptCount val="37"/>
                <c:pt idx="0">
                  <c:v>-2.2478683549161205</c:v>
                </c:pt>
                <c:pt idx="1">
                  <c:v>-2.5044373620649862</c:v>
                </c:pt>
                <c:pt idx="2">
                  <c:v>-2.69044860287784</c:v>
                </c:pt>
                <c:pt idx="3">
                  <c:v>-2.671582048450538</c:v>
                </c:pt>
                <c:pt idx="4">
                  <c:v>-2.5452475129875864</c:v>
                </c:pt>
                <c:pt idx="5">
                  <c:v>-2.2437488355115907</c:v>
                </c:pt>
                <c:pt idx="6">
                  <c:v>-1.7991640259282637</c:v>
                </c:pt>
                <c:pt idx="7">
                  <c:v>-1.212177959780912</c:v>
                </c:pt>
                <c:pt idx="8">
                  <c:v>-0.5648036082429361</c:v>
                </c:pt>
                <c:pt idx="9">
                  <c:v>0.23051298076559937</c:v>
                </c:pt>
                <c:pt idx="10">
                  <c:v>0.9966513205478047</c:v>
                </c:pt>
                <c:pt idx="11">
                  <c:v>1.5166450678283876</c:v>
                </c:pt>
                <c:pt idx="12">
                  <c:v>1.5572675107913958</c:v>
                </c:pt>
                <c:pt idx="13">
                  <c:v>1.2312114177650035</c:v>
                </c:pt>
                <c:pt idx="14">
                  <c:v>0.6425028826417308</c:v>
                </c:pt>
                <c:pt idx="15">
                  <c:v>0.01706035192281191</c:v>
                </c:pt>
                <c:pt idx="16">
                  <c:v>-0.6232822121028094</c:v>
                </c:pt>
                <c:pt idx="17">
                  <c:v>-1.0823578049632472</c:v>
                </c:pt>
                <c:pt idx="18">
                  <c:v>-1.448277433488308</c:v>
                </c:pt>
                <c:pt idx="19">
                  <c:v>-1.5866734845563102</c:v>
                </c:pt>
                <c:pt idx="20">
                  <c:v>-1.723282212102806</c:v>
                </c:pt>
                <c:pt idx="21">
                  <c:v>-1.4752846575903549</c:v>
                </c:pt>
                <c:pt idx="22">
                  <c:v>-1.2409757659200717</c:v>
                </c:pt>
                <c:pt idx="23">
                  <c:v>-0.8529016728926805</c:v>
                </c:pt>
                <c:pt idx="24">
                  <c:v>-0.34273248920859534</c:v>
                </c:pt>
                <c:pt idx="25">
                  <c:v>0.2898926109666592</c:v>
                </c:pt>
                <c:pt idx="26">
                  <c:v>1.014612386902793</c:v>
                </c:pt>
                <c:pt idx="27">
                  <c:v>1.621188363194382</c:v>
                </c:pt>
                <c:pt idx="28">
                  <c:v>1.9351963917570805</c:v>
                </c:pt>
                <c:pt idx="29">
                  <c:v>1.8927733071414983</c:v>
                </c:pt>
                <c:pt idx="30">
                  <c:v>1.4141081260832409</c:v>
                </c:pt>
                <c:pt idx="31">
                  <c:v>0.615518111003897</c:v>
                </c:pt>
                <c:pt idx="32">
                  <c:v>-0.14524751298758334</c:v>
                </c:pt>
                <c:pt idx="33">
                  <c:v>-0.8385616565085683</c:v>
                </c:pt>
                <c:pt idx="34">
                  <c:v>-1.4890088879610628</c:v>
                </c:pt>
                <c:pt idx="35">
                  <c:v>-1.947076728269048</c:v>
                </c:pt>
                <c:pt idx="36">
                  <c:v>-2.2478683549161205</c:v>
                </c:pt>
              </c:numCache>
            </c:numRef>
          </c:val>
          <c:smooth val="1"/>
        </c:ser>
        <c:ser>
          <c:idx val="1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Остаточная!$E$2:$E$38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cat>
          <c:val>
            <c:numRef>
              <c:f>Остаточная!$G$2:$G$38</c:f>
              <c:numCache>
                <c:ptCount val="37"/>
                <c:pt idx="0">
                  <c:v>-2.495736709832241</c:v>
                </c:pt>
                <c:pt idx="1">
                  <c:v>-2.708874724129973</c:v>
                </c:pt>
                <c:pt idx="2">
                  <c:v>-2.7808972057556782</c:v>
                </c:pt>
                <c:pt idx="3">
                  <c:v>-2.743164096901075</c:v>
                </c:pt>
                <c:pt idx="4">
                  <c:v>-2.5904950259751733</c:v>
                </c:pt>
                <c:pt idx="5">
                  <c:v>-2.2874976710231785</c:v>
                </c:pt>
                <c:pt idx="6">
                  <c:v>-1.7983280518565306</c:v>
                </c:pt>
                <c:pt idx="7">
                  <c:v>-1.1243559195618267</c:v>
                </c:pt>
                <c:pt idx="8">
                  <c:v>-0.329607216485875</c:v>
                </c:pt>
                <c:pt idx="9">
                  <c:v>0.46102596153119874</c:v>
                </c:pt>
                <c:pt idx="10">
                  <c:v>1.0933026410956037</c:v>
                </c:pt>
                <c:pt idx="11">
                  <c:v>1.4332901356567809</c:v>
                </c:pt>
                <c:pt idx="12">
                  <c:v>1.414535021582789</c:v>
                </c:pt>
                <c:pt idx="13">
                  <c:v>1.0624228355300014</c:v>
                </c:pt>
                <c:pt idx="14">
                  <c:v>0.48500576528345035</c:v>
                </c:pt>
                <c:pt idx="15">
                  <c:v>-0.1658792961543648</c:v>
                </c:pt>
                <c:pt idx="16">
                  <c:v>-0.746564424205619</c:v>
                </c:pt>
                <c:pt idx="17">
                  <c:v>-1.1647156099264944</c:v>
                </c:pt>
                <c:pt idx="18">
                  <c:v>-1.396554866976616</c:v>
                </c:pt>
                <c:pt idx="19">
                  <c:v>-1.4733469691126317</c:v>
                </c:pt>
                <c:pt idx="20">
                  <c:v>-1.446564424205612</c:v>
                </c:pt>
                <c:pt idx="21">
                  <c:v>-1.3505693151807154</c:v>
                </c:pt>
                <c:pt idx="22">
                  <c:v>-1.1819515318401321</c:v>
                </c:pt>
                <c:pt idx="23">
                  <c:v>-0.9058033457853496</c:v>
                </c:pt>
                <c:pt idx="24">
                  <c:v>-0.48546497841720204</c:v>
                </c:pt>
                <c:pt idx="25">
                  <c:v>0.07978522193331838</c:v>
                </c:pt>
                <c:pt idx="26">
                  <c:v>0.7292247738055744</c:v>
                </c:pt>
                <c:pt idx="27">
                  <c:v>1.3423767263887867</c:v>
                </c:pt>
                <c:pt idx="28">
                  <c:v>1.7703927835141382</c:v>
                </c:pt>
                <c:pt idx="29">
                  <c:v>1.8855466142830193</c:v>
                </c:pt>
                <c:pt idx="30">
                  <c:v>1.628216252166493</c:v>
                </c:pt>
                <c:pt idx="31">
                  <c:v>1.0310362220078053</c:v>
                </c:pt>
                <c:pt idx="32">
                  <c:v>0.2095049740248333</c:v>
                </c:pt>
                <c:pt idx="33">
                  <c:v>-0.6771233130171367</c:v>
                </c:pt>
                <c:pt idx="34">
                  <c:v>-1.4780177759221256</c:v>
                </c:pt>
                <c:pt idx="35">
                  <c:v>-2.0941534565380846</c:v>
                </c:pt>
                <c:pt idx="36">
                  <c:v>-2.495736709832241</c:v>
                </c:pt>
              </c:numCache>
            </c:numRef>
          </c:val>
          <c:smooth val="1"/>
        </c:ser>
        <c:axId val="28879022"/>
        <c:axId val="24487575"/>
      </c:lineChart>
      <c:catAx>
        <c:axId val="2887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87575"/>
        <c:crosses val="autoZero"/>
        <c:auto val="0"/>
        <c:lblOffset val="100"/>
        <c:tickLblSkip val="2"/>
        <c:noMultiLvlLbl val="0"/>
      </c:catAx>
      <c:valAx>
        <c:axId val="244875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79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133350</xdr:rowOff>
    </xdr:from>
    <xdr:to>
      <xdr:col>16</xdr:col>
      <xdr:colOff>419100</xdr:colOff>
      <xdr:row>33</xdr:row>
      <xdr:rowOff>76200</xdr:rowOff>
    </xdr:to>
    <xdr:sp>
      <xdr:nvSpPr>
        <xdr:cNvPr id="1" name="Текст 5"/>
        <xdr:cNvSpPr txBox="1">
          <a:spLocks noChangeArrowheads="1"/>
        </xdr:cNvSpPr>
      </xdr:nvSpPr>
      <xdr:spPr>
        <a:xfrm>
          <a:off x="2400300" y="571500"/>
          <a:ext cx="6924675" cy="48006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                                             </a:t>
          </a:r>
          <a:r>
            <a:rPr lang="en-US" cap="none" sz="16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2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Инструкция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
1. </a:t>
          </a:r>
          <a:r>
            <a:rPr lang="en-US" cap="none" sz="1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Ввод данных производится в ячейки с красными цифрами!!!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
2. На листе </a:t>
          </a:r>
          <a:r>
            <a:rPr lang="en-US" cap="none" sz="1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УНИЧТОЖЕНИЕ 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производится расчет коэффициентов для                                                                                           </a:t>
          </a:r>
          <a:r>
            <a:rPr lang="en-US" cap="none" sz="1400" b="0" i="0" u="none" baseline="0">
              <a:solidFill>
                <a:srgbClr val="CCFFCC"/>
              </a:solidFill>
              <a:latin typeface="Arial Cyr"/>
              <a:ea typeface="Arial Cyr"/>
              <a:cs typeface="Arial Cyr"/>
            </a:rPr>
            <a:t>. 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  их   уничтожения согласно инструкции данного радиопеленгатора.
3. Вводтся значения КУ полученные как на правой так и на левой                                      </a:t>
          </a:r>
          <a:r>
            <a:rPr lang="en-US" cap="none" sz="1400" b="0" i="0" u="none" baseline="0">
              <a:solidFill>
                <a:srgbClr val="CCFFCC"/>
              </a:solidFill>
              <a:latin typeface="Arial Cyr"/>
              <a:ea typeface="Arial Cyr"/>
              <a:cs typeface="Arial Cyr"/>
            </a:rPr>
            <a:t>.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   циркуляции.   Если была только одна  циркуляция то значение                       </a:t>
          </a:r>
          <a:r>
            <a:rPr lang="en-US" cap="none" sz="1400" b="0" i="0" u="none" baseline="0">
              <a:solidFill>
                <a:srgbClr val="CCFFCC"/>
              </a:solidFill>
              <a:latin typeface="Arial Cyr"/>
              <a:ea typeface="Arial Cyr"/>
              <a:cs typeface="Arial Cyr"/>
            </a:rPr>
            <a:t>.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   вводится в обе ячейки.            
4. На листе </a:t>
          </a:r>
          <a:r>
            <a:rPr lang="en-US" cap="none" sz="1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ОСТАТОЧНАЯ 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вводятся  значения КУ полученных при              </a:t>
          </a:r>
          <a:r>
            <a:rPr lang="en-US" cap="none" sz="1400" b="0" i="0" u="none" baseline="0">
              <a:solidFill>
                <a:srgbClr val="CCFFCC"/>
              </a:solidFill>
              <a:latin typeface="Arial Cyr"/>
              <a:ea typeface="Arial Cyr"/>
              <a:cs typeface="Arial Cyr"/>
            </a:rPr>
            <a:t>.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   наблюдении остаточной радиодевиации , расчитываются и оцени-        </a:t>
          </a:r>
          <a:r>
            <a:rPr lang="en-US" cap="none" sz="1400" b="0" i="0" u="none" baseline="0">
              <a:solidFill>
                <a:srgbClr val="CCFFCC"/>
              </a:solidFill>
              <a:latin typeface="Arial Cyr"/>
              <a:ea typeface="Arial Cyr"/>
              <a:cs typeface="Arial Cyr"/>
            </a:rPr>
            <a:t>.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   ваются новые коэффициенты (A,B,C,D,E,H) и разность между наб- 
    люденной и вычесленной  радиодевиацией.    
5.</a:t>
          </a:r>
          <a:r>
            <a:rPr lang="en-US" cap="none" sz="1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ГРАФИК 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строится по расчетной ,наблюденной радиодевиации и            </a:t>
          </a:r>
          <a:r>
            <a:rPr lang="en-US" cap="none" sz="1400" b="0" i="0" u="none" baseline="0">
              <a:solidFill>
                <a:srgbClr val="CCFFCC"/>
              </a:solidFill>
              <a:latin typeface="Arial Cyr"/>
              <a:ea typeface="Arial Cyr"/>
              <a:cs typeface="Arial Cyr"/>
            </a:rPr>
            <a:t>.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   осредняется.
6. Нормативы  взяты из ПШП НК и §29 ПШС -32 1993г.
7. Для удобства работы лучше использовать реж.ПОЛНЫЙ ЭКРАН и            </a:t>
          </a:r>
          <a:r>
            <a:rPr lang="en-US" cap="none" sz="1400" b="0" i="0" u="none" baseline="0">
              <a:solidFill>
                <a:srgbClr val="CCFFCC"/>
              </a:solidFill>
              <a:latin typeface="Arial Cyr"/>
              <a:ea typeface="Arial Cyr"/>
              <a:cs typeface="Arial Cyr"/>
            </a:rPr>
            <a:t>.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   убрать ПАНЕЛЬ ИСНСТРУМЕНТОВ из меню ВИД.
8. Оценка выставляется по наихудшей.
9. Печать необходимой отчетной информации производится на листе    </a:t>
          </a:r>
          <a:r>
            <a:rPr lang="en-US" cap="none" sz="1400" b="0" i="0" u="none" baseline="0">
              <a:solidFill>
                <a:srgbClr val="CCFFCC"/>
              </a:solidFill>
              <a:latin typeface="Arial Cyr"/>
              <a:ea typeface="Arial Cyr"/>
              <a:cs typeface="Arial Cyr"/>
            </a:rPr>
            <a:t>.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  </a:t>
          </a:r>
          <a:r>
            <a:rPr lang="en-US" cap="none" sz="1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ПЕЧАТЬ.</a:t>
          </a:r>
        </a:p>
      </xdr:txBody>
    </xdr:sp>
    <xdr:clientData/>
  </xdr:twoCellAnchor>
  <xdr:twoCellAnchor>
    <xdr:from>
      <xdr:col>3</xdr:col>
      <xdr:colOff>523875</xdr:colOff>
      <xdr:row>1</xdr:row>
      <xdr:rowOff>0</xdr:rowOff>
    </xdr:from>
    <xdr:to>
      <xdr:col>17</xdr:col>
      <xdr:colOff>57150</xdr:colOff>
      <xdr:row>3</xdr:row>
      <xdr:rowOff>76200</xdr:rowOff>
    </xdr:to>
    <xdr:sp>
      <xdr:nvSpPr>
        <xdr:cNvPr id="2" name="Текст 7"/>
        <xdr:cNvSpPr txBox="1">
          <a:spLocks noChangeArrowheads="1"/>
        </xdr:cNvSpPr>
      </xdr:nvSpPr>
      <xdr:spPr>
        <a:xfrm>
          <a:off x="2247900" y="114300"/>
          <a:ext cx="7267575" cy="400050"/>
        </a:xfrm>
        <a:prstGeom prst="roundRect">
          <a:avLst/>
        </a:prstGeom>
        <a:solidFill>
          <a:srgbClr val="00FF00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РАДИОДЕВИАЦИЯ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14</xdr:row>
      <xdr:rowOff>85725</xdr:rowOff>
    </xdr:from>
    <xdr:to>
      <xdr:col>17</xdr:col>
      <xdr:colOff>304800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7124700" y="2333625"/>
        <a:ext cx="5105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0.4935</cdr:x>
      <cdr:y>0.499</cdr:y>
    </cdr:from>
    <cdr:to>
      <cdr:x>0.50575</cdr:x>
      <cdr:y>0.554</cdr:y>
    </cdr:to>
    <cdr:sp>
      <cdr:nvSpPr>
        <cdr:cNvPr id="1" name="Текст 1"/>
        <cdr:cNvSpPr txBox="1">
          <a:spLocks noChangeArrowheads="1"/>
        </cdr:cNvSpPr>
      </cdr:nvSpPr>
      <cdr:spPr>
        <a:xfrm>
          <a:off x="5381625" y="2333625"/>
          <a:ext cx="133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47625</xdr:rowOff>
    </xdr:from>
    <xdr:to>
      <xdr:col>16</xdr:col>
      <xdr:colOff>647700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04850" y="695325"/>
        <a:ext cx="10915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0</xdr:row>
      <xdr:rowOff>85725</xdr:rowOff>
    </xdr:from>
    <xdr:to>
      <xdr:col>14</xdr:col>
      <xdr:colOff>133350</xdr:colOff>
      <xdr:row>4</xdr:row>
      <xdr:rowOff>28575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876550" y="85725"/>
          <a:ext cx="6858000" cy="590550"/>
        </a:xfrm>
        <a:prstGeom prst="roundRect">
          <a:avLst/>
        </a:prstGeom>
        <a:solidFill>
          <a:srgbClr val="00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Радиодевиация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0.51475</cdr:x>
      <cdr:y>0.50625</cdr:y>
    </cdr:from>
    <cdr:to>
      <cdr:x>0.53125</cdr:x>
      <cdr:y>0.6165</cdr:y>
    </cdr:to>
    <cdr:sp>
      <cdr:nvSpPr>
        <cdr:cNvPr id="1" name="Текст 1"/>
        <cdr:cNvSpPr txBox="1">
          <a:spLocks noChangeArrowheads="1"/>
        </cdr:cNvSpPr>
      </cdr:nvSpPr>
      <cdr:spPr>
        <a:xfrm>
          <a:off x="3543300" y="1085850"/>
          <a:ext cx="114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14</xdr:row>
      <xdr:rowOff>85725</xdr:rowOff>
    </xdr:from>
    <xdr:to>
      <xdr:col>24</xdr:col>
      <xdr:colOff>9525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609850" y="2371725"/>
        <a:ext cx="6886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1</xdr:row>
      <xdr:rowOff>28575</xdr:rowOff>
    </xdr:from>
    <xdr:to>
      <xdr:col>21</xdr:col>
      <xdr:colOff>409575</xdr:colOff>
      <xdr:row>2</xdr:row>
      <xdr:rowOff>123825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23950" y="190500"/>
          <a:ext cx="7543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ОПРЕДЕЛЕНИЕ И КОМПЕНСАЦИЯ РАДИОДЕВИАЦИИ</a:t>
          </a:r>
        </a:p>
      </xdr:txBody>
    </xdr:sp>
    <xdr:clientData/>
  </xdr:twoCellAnchor>
  <xdr:twoCellAnchor>
    <xdr:from>
      <xdr:col>6</xdr:col>
      <xdr:colOff>28575</xdr:colOff>
      <xdr:row>28</xdr:row>
      <xdr:rowOff>76200</xdr:rowOff>
    </xdr:from>
    <xdr:to>
      <xdr:col>20</xdr:col>
      <xdr:colOff>161925</xdr:colOff>
      <xdr:row>30</xdr:row>
      <xdr:rowOff>38100</xdr:rowOff>
    </xdr:to>
    <xdr:sp>
      <xdr:nvSpPr>
        <xdr:cNvPr id="3" name="Текст 6"/>
        <xdr:cNvSpPr txBox="1">
          <a:spLocks noChangeArrowheads="1"/>
        </xdr:cNvSpPr>
      </xdr:nvSpPr>
      <xdr:spPr>
        <a:xfrm>
          <a:off x="2143125" y="4629150"/>
          <a:ext cx="58674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ОСТАТОЧНАЯ РАДИОДЕВИАЦИЯ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="65" zoomScaleNormal="65" workbookViewId="0" topLeftCell="A1">
      <selection activeCell="D36" sqref="D36"/>
    </sheetView>
  </sheetViews>
  <sheetFormatPr defaultColWidth="9.00390625" defaultRowHeight="12.75" customHeight="1"/>
  <cols>
    <col min="1" max="2" width="7.25390625" style="0" customWidth="1"/>
    <col min="3" max="3" width="8.125" style="0" customWidth="1"/>
    <col min="4" max="16384" width="7.25390625" style="0" customWidth="1"/>
  </cols>
  <sheetData>
    <row r="1" spans="1:2" s="10" customFormat="1" ht="9" customHeight="1">
      <c r="A1" s="85">
        <f>IF(ABS(B10)&gt;340,B10-360,B10)</f>
        <v>-1.6000000000000227</v>
      </c>
      <c r="B1" s="85">
        <f>IF(ABS(B11)&gt;340,B11-360,B11)</f>
        <v>-1.6000000000000227</v>
      </c>
    </row>
    <row r="2" s="10" customFormat="1" ht="12.75" customHeight="1"/>
    <row r="3" s="10" customFormat="1" ht="12.75" customHeight="1">
      <c r="C3" s="106"/>
    </row>
    <row r="4" s="10" customFormat="1" ht="12.75" customHeight="1" thickBot="1"/>
    <row r="5" spans="1:22" s="10" customFormat="1" ht="12.75" customHeight="1">
      <c r="A5" s="165" t="s">
        <v>20</v>
      </c>
      <c r="B5" s="166"/>
      <c r="C5" s="166"/>
      <c r="D5" s="167"/>
      <c r="R5" s="165" t="s">
        <v>17</v>
      </c>
      <c r="S5" s="180"/>
      <c r="T5" s="180"/>
      <c r="U5" s="180"/>
      <c r="V5" s="181"/>
    </row>
    <row r="6" spans="1:22" s="10" customFormat="1" ht="12.75" customHeight="1">
      <c r="A6" s="168"/>
      <c r="B6" s="169"/>
      <c r="C6" s="169"/>
      <c r="D6" s="170"/>
      <c r="R6" s="182"/>
      <c r="S6" s="183"/>
      <c r="T6" s="183"/>
      <c r="U6" s="183"/>
      <c r="V6" s="184"/>
    </row>
    <row r="7" spans="1:22" s="10" customFormat="1" ht="12.75" customHeight="1">
      <c r="A7" s="171" t="s">
        <v>35</v>
      </c>
      <c r="B7" s="172"/>
      <c r="C7" s="172"/>
      <c r="D7" s="173"/>
      <c r="R7" s="185" t="s">
        <v>18</v>
      </c>
      <c r="S7" s="186"/>
      <c r="T7" s="186"/>
      <c r="U7" s="186"/>
      <c r="V7" s="187"/>
    </row>
    <row r="8" spans="1:22" s="10" customFormat="1" ht="12.75" customHeight="1" thickBot="1">
      <c r="A8" s="174" t="s">
        <v>36</v>
      </c>
      <c r="B8" s="163"/>
      <c r="C8" s="163"/>
      <c r="D8" s="173"/>
      <c r="R8" s="62" t="s">
        <v>3</v>
      </c>
      <c r="S8" s="63">
        <f>(D11+D17+D23+D29)/4</f>
        <v>-1.4000000000000092</v>
      </c>
      <c r="T8" s="1" t="str">
        <f>IF(ABS(S8)&gt;2.5,"неуд",IF(ABS(S8)&gt;1.8,"уд",IF(ABS(S8)&gt;1,"хор",IF(ABS(S8)&lt;=1,"отл"))))</f>
        <v>хор</v>
      </c>
      <c r="U8" s="164" t="s">
        <v>31</v>
      </c>
      <c r="V8" s="162"/>
    </row>
    <row r="9" spans="1:22" s="10" customFormat="1" ht="12.75" customHeight="1" thickBot="1">
      <c r="A9" s="71" t="s">
        <v>1</v>
      </c>
      <c r="B9" s="71" t="s">
        <v>0</v>
      </c>
      <c r="C9" s="71" t="s">
        <v>37</v>
      </c>
      <c r="D9" s="71" t="s">
        <v>2</v>
      </c>
      <c r="E9" s="75"/>
      <c r="R9" s="15"/>
      <c r="S9" s="16"/>
      <c r="T9" s="171" t="s">
        <v>32</v>
      </c>
      <c r="U9" s="172"/>
      <c r="V9" s="173"/>
    </row>
    <row r="10" spans="1:22" s="10" customFormat="1" ht="12.75" customHeight="1">
      <c r="A10" s="83"/>
      <c r="B10" s="99">
        <v>358.4</v>
      </c>
      <c r="C10" s="84"/>
      <c r="D10" s="70"/>
      <c r="R10" s="15" t="s">
        <v>4</v>
      </c>
      <c r="S10" s="16">
        <f>(D17-D29)</f>
        <v>-0.20000000000000284</v>
      </c>
      <c r="T10" s="171" t="s">
        <v>33</v>
      </c>
      <c r="U10" s="172"/>
      <c r="V10" s="173"/>
    </row>
    <row r="11" spans="1:22" s="10" customFormat="1" ht="12.75" customHeight="1">
      <c r="A11" s="5">
        <v>0</v>
      </c>
      <c r="B11" s="99">
        <v>358.4</v>
      </c>
      <c r="C11" s="6">
        <f>A11</f>
        <v>0</v>
      </c>
      <c r="D11" s="82">
        <f>B12-A11</f>
        <v>-1.6000000000000227</v>
      </c>
      <c r="R11" s="15"/>
      <c r="S11" s="16"/>
      <c r="T11" s="171" t="s">
        <v>34</v>
      </c>
      <c r="U11" s="172"/>
      <c r="V11" s="173"/>
    </row>
    <row r="12" spans="1:22" s="10" customFormat="1" ht="12.75" customHeight="1" thickBot="1">
      <c r="A12" s="7"/>
      <c r="B12" s="96">
        <f>(A1+B1)/2</f>
        <v>-1.6000000000000227</v>
      </c>
      <c r="C12" s="8"/>
      <c r="D12" s="9"/>
      <c r="R12" s="15" t="s">
        <v>5</v>
      </c>
      <c r="S12" s="16">
        <f>(D11-D23)/2</f>
        <v>-1.4000000000000057</v>
      </c>
      <c r="T12" s="171" t="s">
        <v>55</v>
      </c>
      <c r="U12" s="172"/>
      <c r="V12" s="173"/>
    </row>
    <row r="13" spans="1:22" s="10" customFormat="1" ht="12.75" customHeight="1">
      <c r="A13" s="2"/>
      <c r="B13" s="100">
        <v>41.6</v>
      </c>
      <c r="C13" s="3"/>
      <c r="D13" s="4"/>
      <c r="R13" s="15"/>
      <c r="S13" s="16"/>
      <c r="T13" s="60"/>
      <c r="U13" s="60"/>
      <c r="V13" s="61"/>
    </row>
    <row r="14" spans="1:22" s="10" customFormat="1" ht="12.75" customHeight="1">
      <c r="A14" s="5">
        <v>45</v>
      </c>
      <c r="B14" s="99">
        <v>41.6</v>
      </c>
      <c r="C14" s="6">
        <f>A14</f>
        <v>45</v>
      </c>
      <c r="D14" s="82">
        <f>B15-A14</f>
        <v>-3.3999999999999986</v>
      </c>
      <c r="R14" s="15" t="s">
        <v>6</v>
      </c>
      <c r="S14" s="16">
        <f>(D14-D20)/2</f>
        <v>-2.7999999999999936</v>
      </c>
      <c r="T14" s="1" t="str">
        <f>IF(ABS(S14)&gt;2.5,"неуд",IF(ABS(S14)&gt;1.8,"уд",IF(ABS(S14)&gt;1,"хор",IF(ABS(S14)&lt;=1,"отл"))))</f>
        <v>неуд</v>
      </c>
      <c r="U14" s="60"/>
      <c r="V14" s="61"/>
    </row>
    <row r="15" spans="1:22" s="10" customFormat="1" ht="12.75" customHeight="1" thickBot="1">
      <c r="A15" s="7"/>
      <c r="B15" s="102">
        <f>(B13+B14)*0.5</f>
        <v>41.6</v>
      </c>
      <c r="C15" s="8"/>
      <c r="D15" s="9"/>
      <c r="R15" s="15"/>
      <c r="S15" s="16"/>
      <c r="T15" s="60"/>
      <c r="U15" s="60"/>
      <c r="V15" s="61"/>
    </row>
    <row r="16" spans="1:22" s="10" customFormat="1" ht="12.75" customHeight="1">
      <c r="A16" s="2"/>
      <c r="B16" s="100">
        <v>87.3</v>
      </c>
      <c r="C16" s="3"/>
      <c r="D16" s="4"/>
      <c r="R16" s="15" t="s">
        <v>7</v>
      </c>
      <c r="S16" s="16">
        <f>(D11-D17)/2</f>
        <v>0.54999999999999</v>
      </c>
      <c r="T16" s="60"/>
      <c r="U16" s="60"/>
      <c r="V16" s="61"/>
    </row>
    <row r="17" spans="1:22" s="10" customFormat="1" ht="12.75" customHeight="1">
      <c r="A17" s="5">
        <v>90</v>
      </c>
      <c r="B17" s="99">
        <v>87.3</v>
      </c>
      <c r="C17" s="6">
        <f>A17</f>
        <v>90</v>
      </c>
      <c r="D17" s="82">
        <f>B18-A17</f>
        <v>-2.700000000000003</v>
      </c>
      <c r="R17" s="53"/>
      <c r="S17" s="54"/>
      <c r="T17" s="60"/>
      <c r="U17" s="60"/>
      <c r="V17" s="61"/>
    </row>
    <row r="18" spans="1:22" s="10" customFormat="1" ht="12.75" customHeight="1" thickBot="1">
      <c r="A18" s="7"/>
      <c r="B18" s="102">
        <f>(B16+B17)*0.5</f>
        <v>87.3</v>
      </c>
      <c r="C18" s="8"/>
      <c r="D18" s="9"/>
      <c r="R18" s="188" t="s">
        <v>19</v>
      </c>
      <c r="S18" s="189"/>
      <c r="T18" s="189"/>
      <c r="U18" s="189"/>
      <c r="V18" s="190"/>
    </row>
    <row r="19" spans="1:22" s="10" customFormat="1" ht="12.75" customHeight="1">
      <c r="A19" s="2"/>
      <c r="B19" s="100">
        <v>137.2</v>
      </c>
      <c r="C19" s="3"/>
      <c r="D19" s="4"/>
      <c r="R19" s="198" t="s">
        <v>12</v>
      </c>
      <c r="S19" s="199"/>
      <c r="T19" s="199"/>
      <c r="U19" s="199"/>
      <c r="V19" s="200"/>
    </row>
    <row r="20" spans="1:22" s="10" customFormat="1" ht="12.75" customHeight="1">
      <c r="A20" s="5">
        <v>135</v>
      </c>
      <c r="B20" s="101">
        <v>137.2</v>
      </c>
      <c r="C20" s="6">
        <f>A20</f>
        <v>135</v>
      </c>
      <c r="D20" s="82">
        <f>B21-A20</f>
        <v>2.1999999999999886</v>
      </c>
      <c r="R20" s="201"/>
      <c r="S20" s="202"/>
      <c r="T20" s="202"/>
      <c r="U20" s="202"/>
      <c r="V20" s="203"/>
    </row>
    <row r="21" spans="1:22" s="10" customFormat="1" ht="12.75" customHeight="1" thickBot="1">
      <c r="A21" s="7"/>
      <c r="B21" s="102">
        <f>(B19+B20)*0.5</f>
        <v>137.2</v>
      </c>
      <c r="C21" s="8"/>
      <c r="D21" s="9"/>
      <c r="R21" s="201"/>
      <c r="S21" s="202"/>
      <c r="T21" s="202"/>
      <c r="U21" s="202"/>
      <c r="V21" s="203"/>
    </row>
    <row r="22" spans="1:22" s="10" customFormat="1" ht="12.75" customHeight="1">
      <c r="A22" s="2"/>
      <c r="B22" s="100">
        <v>181.2</v>
      </c>
      <c r="C22" s="3"/>
      <c r="D22" s="4"/>
      <c r="R22" s="204"/>
      <c r="S22" s="205"/>
      <c r="T22" s="205"/>
      <c r="U22" s="205"/>
      <c r="V22" s="206"/>
    </row>
    <row r="23" spans="1:22" s="10" customFormat="1" ht="12.75" customHeight="1">
      <c r="A23" s="5">
        <v>180</v>
      </c>
      <c r="B23" s="101">
        <v>181.2</v>
      </c>
      <c r="C23" s="6">
        <f>A23</f>
        <v>180</v>
      </c>
      <c r="D23" s="82">
        <f>B24-A23</f>
        <v>1.1999999999999886</v>
      </c>
      <c r="R23" s="72"/>
      <c r="S23" s="73"/>
      <c r="T23" s="73"/>
      <c r="U23" s="73"/>
      <c r="V23" s="74"/>
    </row>
    <row r="24" spans="1:22" s="10" customFormat="1" ht="12.75" customHeight="1" thickBot="1">
      <c r="A24" s="7"/>
      <c r="B24" s="102">
        <f>(B22+B23)*0.5</f>
        <v>181.2</v>
      </c>
      <c r="C24" s="8"/>
      <c r="D24" s="9"/>
      <c r="R24" s="207" t="s">
        <v>13</v>
      </c>
      <c r="S24" s="194"/>
      <c r="T24" s="194"/>
      <c r="U24" s="194"/>
      <c r="V24" s="208"/>
    </row>
    <row r="25" spans="1:22" s="10" customFormat="1" ht="12.75" customHeight="1">
      <c r="A25" s="2"/>
      <c r="B25" s="101">
        <v>225</v>
      </c>
      <c r="C25" s="3"/>
      <c r="D25" s="4"/>
      <c r="R25" s="207" t="s">
        <v>68</v>
      </c>
      <c r="S25" s="194"/>
      <c r="T25" s="194"/>
      <c r="U25" s="194"/>
      <c r="V25" s="208"/>
    </row>
    <row r="26" spans="1:22" s="10" customFormat="1" ht="12.75" customHeight="1">
      <c r="A26" s="5">
        <v>225</v>
      </c>
      <c r="B26" s="101">
        <v>225</v>
      </c>
      <c r="C26" s="6">
        <f>A26</f>
        <v>225</v>
      </c>
      <c r="D26" s="82">
        <f>B27-A26</f>
        <v>0</v>
      </c>
      <c r="R26" s="215" t="s">
        <v>14</v>
      </c>
      <c r="S26" s="216"/>
      <c r="T26" s="216"/>
      <c r="U26" s="216"/>
      <c r="V26" s="217"/>
    </row>
    <row r="27" spans="1:22" s="10" customFormat="1" ht="12.75" customHeight="1" thickBot="1">
      <c r="A27" s="7"/>
      <c r="B27" s="102">
        <f>(B25+B26)*0.5</f>
        <v>225</v>
      </c>
      <c r="C27" s="8"/>
      <c r="D27" s="9"/>
      <c r="R27" s="218" t="s">
        <v>15</v>
      </c>
      <c r="S27" s="219"/>
      <c r="T27" s="219"/>
      <c r="U27" s="219"/>
      <c r="V27" s="220"/>
    </row>
    <row r="28" spans="1:22" s="10" customFormat="1" ht="12.75" customHeight="1">
      <c r="A28" s="2"/>
      <c r="B28" s="100">
        <v>267.5</v>
      </c>
      <c r="C28" s="3"/>
      <c r="D28" s="4"/>
      <c r="R28" s="221"/>
      <c r="S28" s="222"/>
      <c r="T28" s="222"/>
      <c r="U28" s="222"/>
      <c r="V28" s="223"/>
    </row>
    <row r="29" spans="1:22" s="10" customFormat="1" ht="12.75" customHeight="1">
      <c r="A29" s="5">
        <v>270</v>
      </c>
      <c r="B29" s="101">
        <v>267.5</v>
      </c>
      <c r="C29" s="6">
        <f>A29</f>
        <v>270</v>
      </c>
      <c r="D29" s="82">
        <f>B30-A29</f>
        <v>-2.5</v>
      </c>
      <c r="R29" s="224"/>
      <c r="S29" s="225"/>
      <c r="T29" s="225"/>
      <c r="U29" s="225"/>
      <c r="V29" s="226"/>
    </row>
    <row r="30" spans="1:22" s="10" customFormat="1" ht="12.75" customHeight="1" thickBot="1">
      <c r="A30" s="7"/>
      <c r="B30" s="102">
        <f>(B28+B29)*0.5</f>
        <v>267.5</v>
      </c>
      <c r="C30" s="8"/>
      <c r="D30" s="9"/>
      <c r="R30" s="64"/>
      <c r="S30" s="65"/>
      <c r="T30" s="65"/>
      <c r="U30" s="65"/>
      <c r="V30" s="66"/>
    </row>
    <row r="31" spans="1:22" s="10" customFormat="1" ht="12.75" customHeight="1">
      <c r="A31" s="2"/>
      <c r="B31" s="101">
        <v>315</v>
      </c>
      <c r="C31" s="3"/>
      <c r="D31" s="4"/>
      <c r="R31" s="67" t="s">
        <v>16</v>
      </c>
      <c r="S31" s="68"/>
      <c r="T31" s="68"/>
      <c r="U31" s="68"/>
      <c r="V31" s="69"/>
    </row>
    <row r="32" spans="1:22" s="10" customFormat="1" ht="12.75" customHeight="1">
      <c r="A32" s="5">
        <v>315</v>
      </c>
      <c r="B32" s="101">
        <v>315</v>
      </c>
      <c r="C32" s="6">
        <f>A32</f>
        <v>315</v>
      </c>
      <c r="D32" s="82">
        <f>B33-A32</f>
        <v>0</v>
      </c>
      <c r="R32" s="161" t="s">
        <v>6</v>
      </c>
      <c r="S32" s="160">
        <f>((D14-D20)+(D26-D32))/4</f>
        <v>-1.3999999999999968</v>
      </c>
      <c r="T32" s="160"/>
      <c r="U32" s="176" t="str">
        <f>IF(ABS(S32)&gt;2.5,"неуд",IF(ABS(S32)&gt;1.8,"уд",IF(ABS(S32)&gt;1,"хор",IF(ABS(S32)&lt;=1,"отл",))))</f>
        <v>хор</v>
      </c>
      <c r="V32" s="177"/>
    </row>
    <row r="33" spans="1:22" s="10" customFormat="1" ht="12.75" customHeight="1" thickBot="1">
      <c r="A33" s="7"/>
      <c r="B33" s="102">
        <f>(B31+B32)*0.5</f>
        <v>315</v>
      </c>
      <c r="C33" s="8"/>
      <c r="D33" s="9"/>
      <c r="R33" s="159"/>
      <c r="S33" s="175"/>
      <c r="T33" s="175"/>
      <c r="U33" s="178"/>
      <c r="V33" s="179"/>
    </row>
    <row r="34" s="10" customFormat="1" ht="12.75" customHeight="1"/>
    <row r="35" s="10" customFormat="1" ht="12.75" customHeight="1"/>
    <row r="36" s="10" customFormat="1" ht="12.75" customHeight="1"/>
    <row r="37" s="10" customFormat="1" ht="12.75" customHeight="1"/>
    <row r="38" spans="6:19" s="10" customFormat="1" ht="12.75" customHeight="1">
      <c r="F38" s="209" t="s">
        <v>38</v>
      </c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1"/>
    </row>
    <row r="39" spans="6:19" s="10" customFormat="1" ht="12.75" customHeight="1">
      <c r="F39" s="212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4"/>
    </row>
    <row r="40" s="10" customFormat="1" ht="12.75" customHeight="1"/>
    <row r="41" s="10" customFormat="1" ht="12.75" customHeight="1"/>
    <row r="42" spans="1:22" s="10" customFormat="1" ht="12.75" customHeight="1">
      <c r="A42" s="191" t="s">
        <v>69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07"/>
    </row>
    <row r="43" spans="1:22" s="10" customFormat="1" ht="12.75" customHeight="1">
      <c r="A43" s="193" t="s">
        <v>39</v>
      </c>
      <c r="B43" s="194"/>
      <c r="C43" s="194"/>
      <c r="D43" s="194"/>
      <c r="E43" s="194"/>
      <c r="F43" s="194"/>
      <c r="G43" s="196" t="s">
        <v>41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97"/>
      <c r="U43" s="97"/>
      <c r="V43" s="98"/>
    </row>
    <row r="44" spans="1:22" s="10" customFormat="1" ht="12.75" customHeight="1">
      <c r="A44" s="195" t="s">
        <v>42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7"/>
    </row>
    <row r="45" spans="1:22" s="10" customFormat="1" ht="12.75" customHeight="1">
      <c r="A45" s="195" t="s">
        <v>43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7"/>
    </row>
    <row r="46" spans="1:22" s="10" customFormat="1" ht="12.75" customHeight="1">
      <c r="A46" s="195" t="s">
        <v>44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</row>
    <row r="47" spans="1:22" s="10" customFormat="1" ht="12.75" customHeight="1">
      <c r="A47" s="193" t="s">
        <v>50</v>
      </c>
      <c r="B47" s="194"/>
      <c r="C47" s="194"/>
      <c r="D47" s="194"/>
      <c r="E47" s="194"/>
      <c r="F47" s="194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s="10" customFormat="1" ht="12.75" customHeight="1">
      <c r="A48" s="195" t="s">
        <v>40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7"/>
    </row>
    <row r="49" spans="1:22" s="10" customFormat="1" ht="12.75" customHeight="1">
      <c r="A49" s="195" t="s">
        <v>45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7"/>
    </row>
    <row r="50" spans="1:22" s="10" customFormat="1" ht="12.75" customHeight="1">
      <c r="A50" s="195" t="s">
        <v>46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7"/>
    </row>
    <row r="51" spans="1:22" s="10" customFormat="1" ht="12.75" customHeight="1">
      <c r="A51" s="195" t="s">
        <v>47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7"/>
    </row>
    <row r="52" spans="1:22" s="10" customFormat="1" ht="12.75" customHeight="1">
      <c r="A52" s="195" t="s">
        <v>48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7"/>
    </row>
    <row r="53" spans="1:22" s="10" customFormat="1" ht="12.75" customHeight="1">
      <c r="A53" s="227" t="s">
        <v>49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9"/>
    </row>
    <row r="54" s="10" customFormat="1" ht="12.75" customHeight="1"/>
    <row r="55" s="10" customFormat="1" ht="12.75" customHeight="1"/>
    <row r="56" s="10" customFormat="1" ht="12.75" customHeight="1"/>
    <row r="57" s="10" customFormat="1" ht="12.75" customHeight="1"/>
    <row r="58" s="10" customFormat="1" ht="12.75" customHeight="1"/>
    <row r="59" s="10" customFormat="1" ht="12.75" customHeight="1"/>
    <row r="60" s="10" customFormat="1" ht="12.75" customHeight="1"/>
    <row r="61" s="10" customFormat="1" ht="12.75" customHeight="1"/>
  </sheetData>
  <sheetProtection password="C70D" sheet="1" objects="1" scenarios="1"/>
  <mergeCells count="33">
    <mergeCell ref="A50:V50"/>
    <mergeCell ref="A51:V51"/>
    <mergeCell ref="A52:V52"/>
    <mergeCell ref="A53:V53"/>
    <mergeCell ref="A49:V49"/>
    <mergeCell ref="G43:S43"/>
    <mergeCell ref="A45:V45"/>
    <mergeCell ref="A46:V46"/>
    <mergeCell ref="A48:V48"/>
    <mergeCell ref="A47:F47"/>
    <mergeCell ref="A42:U42"/>
    <mergeCell ref="A43:F43"/>
    <mergeCell ref="A44:V44"/>
    <mergeCell ref="T12:V12"/>
    <mergeCell ref="R19:V22"/>
    <mergeCell ref="R24:V24"/>
    <mergeCell ref="F38:S39"/>
    <mergeCell ref="R25:V25"/>
    <mergeCell ref="R26:V26"/>
    <mergeCell ref="R27:V29"/>
    <mergeCell ref="R32:R33"/>
    <mergeCell ref="S32:T33"/>
    <mergeCell ref="U32:V33"/>
    <mergeCell ref="R5:V6"/>
    <mergeCell ref="R7:V7"/>
    <mergeCell ref="R18:V18"/>
    <mergeCell ref="T11:V11"/>
    <mergeCell ref="A5:D6"/>
    <mergeCell ref="A7:D7"/>
    <mergeCell ref="A8:D8"/>
    <mergeCell ref="T10:V10"/>
    <mergeCell ref="U8:V8"/>
    <mergeCell ref="T9:V9"/>
  </mergeCells>
  <printOptions gridLines="1"/>
  <pageMargins left="1.07" right="0.38" top="0.63" bottom="0.49" header="0.5" footer="0.24"/>
  <pageSetup horizontalDpi="120" verticalDpi="120" orientation="landscape" paperSize="9" scale="80" r:id="rId2"/>
  <headerFooter alignWithMargins="0">
    <oddHeader>&amp;C&amp;A</oddHeader>
    <oddFooter>&amp;CСтр.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23" sqref="A23"/>
    </sheetView>
  </sheetViews>
  <sheetFormatPr defaultColWidth="9.00390625" defaultRowHeight="12.75"/>
  <sheetData>
    <row r="1" spans="1:9" ht="15">
      <c r="A1" s="108" t="s">
        <v>183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108" t="s">
        <v>185</v>
      </c>
      <c r="C2" s="108"/>
      <c r="D2" s="108"/>
      <c r="E2" s="108"/>
      <c r="F2" s="108"/>
      <c r="G2" s="108"/>
      <c r="H2" s="108"/>
      <c r="I2" s="108" t="s">
        <v>184</v>
      </c>
    </row>
    <row r="3" spans="1:9" ht="15">
      <c r="A3" s="108" t="s">
        <v>281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108" t="s">
        <v>186</v>
      </c>
      <c r="B4" s="108"/>
      <c r="C4" s="108"/>
      <c r="D4" s="108"/>
      <c r="E4" s="108"/>
      <c r="F4" s="108"/>
      <c r="G4" s="108"/>
      <c r="H4" s="108"/>
      <c r="I4" s="108"/>
    </row>
    <row r="5" spans="1:9" ht="15">
      <c r="A5" s="108" t="s">
        <v>187</v>
      </c>
      <c r="B5" s="108"/>
      <c r="C5" s="108"/>
      <c r="D5" s="108"/>
      <c r="E5" s="108"/>
      <c r="F5" s="108"/>
      <c r="G5" s="108"/>
      <c r="H5" s="108"/>
      <c r="I5" s="108"/>
    </row>
    <row r="6" spans="1:9" ht="15">
      <c r="A6" s="108" t="s">
        <v>282</v>
      </c>
      <c r="B6" s="108"/>
      <c r="C6" s="108"/>
      <c r="D6" s="108"/>
      <c r="E6" s="108"/>
      <c r="F6" s="108"/>
      <c r="G6" s="108"/>
      <c r="H6" s="108"/>
      <c r="I6" s="108"/>
    </row>
    <row r="7" spans="1:9" ht="15">
      <c r="A7" s="108" t="s">
        <v>188</v>
      </c>
      <c r="B7" s="108"/>
      <c r="C7" s="108"/>
      <c r="D7" s="108"/>
      <c r="E7" s="108"/>
      <c r="F7" s="108"/>
      <c r="G7" s="108"/>
      <c r="H7" s="108"/>
      <c r="I7" s="108"/>
    </row>
    <row r="8" spans="1:9" ht="15">
      <c r="A8" s="108"/>
      <c r="B8" s="108"/>
      <c r="C8" s="108"/>
      <c r="D8" s="108"/>
      <c r="E8" s="108"/>
      <c r="F8" s="108"/>
      <c r="G8" s="108"/>
      <c r="H8" s="108"/>
      <c r="I8" s="108"/>
    </row>
    <row r="9" spans="1:9" ht="15">
      <c r="A9" s="108" t="s">
        <v>193</v>
      </c>
      <c r="B9" s="108"/>
      <c r="C9" s="108"/>
      <c r="D9" s="108"/>
      <c r="E9" s="108"/>
      <c r="F9" s="108"/>
      <c r="G9" s="108"/>
      <c r="H9" s="108"/>
      <c r="I9" s="108"/>
    </row>
    <row r="10" spans="1:9" ht="15">
      <c r="A10" s="108" t="s">
        <v>189</v>
      </c>
      <c r="B10" s="108"/>
      <c r="C10" s="108"/>
      <c r="D10" s="108"/>
      <c r="E10" s="108"/>
      <c r="F10" s="108"/>
      <c r="G10" s="108"/>
      <c r="H10" s="108"/>
      <c r="I10" s="108"/>
    </row>
    <row r="11" spans="1:9" ht="15">
      <c r="A11" s="108" t="s">
        <v>190</v>
      </c>
      <c r="B11" s="108"/>
      <c r="C11" s="108"/>
      <c r="D11" s="108"/>
      <c r="E11" s="108"/>
      <c r="F11" s="108"/>
      <c r="G11" s="108"/>
      <c r="H11" s="108"/>
      <c r="I11" s="108"/>
    </row>
    <row r="12" spans="1:9" ht="15">
      <c r="A12" s="108" t="s">
        <v>191</v>
      </c>
      <c r="B12" s="108"/>
      <c r="C12" s="108"/>
      <c r="D12" s="108"/>
      <c r="E12" s="108"/>
      <c r="F12" s="108"/>
      <c r="G12" s="108"/>
      <c r="H12" s="108"/>
      <c r="I12" s="108"/>
    </row>
    <row r="13" spans="1:9" ht="15">
      <c r="A13" s="108" t="s">
        <v>192</v>
      </c>
      <c r="B13" s="108"/>
      <c r="C13" s="108"/>
      <c r="D13" s="108"/>
      <c r="E13" s="108"/>
      <c r="F13" s="108"/>
      <c r="G13" s="108"/>
      <c r="H13" s="108"/>
      <c r="I13" s="108"/>
    </row>
    <row r="14" spans="1:9" ht="1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15">
      <c r="A15" s="108" t="s">
        <v>194</v>
      </c>
      <c r="B15" s="108"/>
      <c r="C15" s="108"/>
      <c r="D15" s="108"/>
      <c r="E15" s="108"/>
      <c r="F15" s="108"/>
      <c r="G15" s="108"/>
      <c r="H15" s="108"/>
      <c r="I15" s="108"/>
    </row>
    <row r="16" spans="1:9" ht="15">
      <c r="A16" s="108" t="s">
        <v>283</v>
      </c>
      <c r="B16" s="108"/>
      <c r="C16" s="108"/>
      <c r="D16" s="108"/>
      <c r="E16" s="108"/>
      <c r="F16" s="108"/>
      <c r="G16" s="108"/>
      <c r="H16" s="108"/>
      <c r="I16" s="108"/>
    </row>
    <row r="17" spans="1:9" ht="15">
      <c r="A17" s="108" t="s">
        <v>195</v>
      </c>
      <c r="B17" s="108"/>
      <c r="C17" s="108"/>
      <c r="D17" s="108"/>
      <c r="E17" s="108"/>
      <c r="F17" s="108"/>
      <c r="G17" s="108"/>
      <c r="H17" s="108"/>
      <c r="I17" s="108"/>
    </row>
    <row r="18" spans="1:9" ht="15">
      <c r="A18" s="108" t="s">
        <v>196</v>
      </c>
      <c r="B18" s="108"/>
      <c r="C18" s="108"/>
      <c r="D18" s="108"/>
      <c r="E18" s="108"/>
      <c r="F18" s="108"/>
      <c r="G18" s="108"/>
      <c r="H18" s="108"/>
      <c r="I18" s="108"/>
    </row>
    <row r="19" spans="1:9" ht="15">
      <c r="A19" s="108" t="s">
        <v>197</v>
      </c>
      <c r="B19" s="108"/>
      <c r="C19" s="108"/>
      <c r="D19" s="108"/>
      <c r="E19" s="108"/>
      <c r="F19" s="108"/>
      <c r="G19" s="108"/>
      <c r="H19" s="108"/>
      <c r="I19" s="108"/>
    </row>
    <row r="20" spans="1:9" ht="15">
      <c r="A20" s="108" t="s">
        <v>198</v>
      </c>
      <c r="B20" s="108"/>
      <c r="C20" s="108"/>
      <c r="D20" s="108"/>
      <c r="E20" s="108"/>
      <c r="F20" s="108"/>
      <c r="G20" s="108"/>
      <c r="H20" s="108"/>
      <c r="I20" s="108"/>
    </row>
    <row r="21" spans="1:9" ht="15">
      <c r="A21" s="108" t="s">
        <v>199</v>
      </c>
      <c r="B21" s="108"/>
      <c r="C21" s="108"/>
      <c r="D21" s="108"/>
      <c r="E21" s="108"/>
      <c r="F21" s="108"/>
      <c r="G21" s="108"/>
      <c r="H21" s="108"/>
      <c r="I21" s="108"/>
    </row>
    <row r="22" spans="1:9" ht="15">
      <c r="A22" s="108" t="s">
        <v>200</v>
      </c>
      <c r="B22" s="108"/>
      <c r="C22" s="108"/>
      <c r="D22" s="108"/>
      <c r="E22" s="108"/>
      <c r="F22" s="108"/>
      <c r="G22" s="108"/>
      <c r="H22" s="108"/>
      <c r="I22" s="108"/>
    </row>
    <row r="23" spans="1:9" ht="15">
      <c r="A23" s="108" t="s">
        <v>284</v>
      </c>
      <c r="B23" s="108"/>
      <c r="C23" s="108"/>
      <c r="D23" s="108"/>
      <c r="E23" s="108"/>
      <c r="F23" s="108"/>
      <c r="G23" s="108"/>
      <c r="H23" s="108"/>
      <c r="I23" s="108"/>
    </row>
    <row r="24" spans="1:9" ht="1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ht="15">
      <c r="A25" s="108" t="s">
        <v>201</v>
      </c>
      <c r="B25" s="108"/>
      <c r="C25" s="108"/>
      <c r="D25" s="108"/>
      <c r="E25" s="108"/>
      <c r="F25" s="108"/>
      <c r="G25" s="108"/>
      <c r="H25" s="108"/>
      <c r="I25" s="108"/>
    </row>
    <row r="26" spans="1:9" ht="15">
      <c r="A26" s="108" t="s">
        <v>202</v>
      </c>
      <c r="B26" s="108"/>
      <c r="C26" s="108"/>
      <c r="D26" s="108"/>
      <c r="E26" s="108"/>
      <c r="F26" s="108"/>
      <c r="G26" s="108"/>
      <c r="H26" s="108"/>
      <c r="I26" s="108"/>
    </row>
    <row r="27" spans="1:9" ht="15">
      <c r="A27" s="108" t="s">
        <v>203</v>
      </c>
      <c r="B27" s="108"/>
      <c r="C27" s="108"/>
      <c r="D27" s="108"/>
      <c r="E27" s="108"/>
      <c r="F27" s="108"/>
      <c r="G27" s="108"/>
      <c r="H27" s="108"/>
      <c r="I27" s="108"/>
    </row>
    <row r="28" spans="1:9" ht="15">
      <c r="A28" s="108"/>
      <c r="B28" s="108"/>
      <c r="C28" s="108"/>
      <c r="D28" s="108"/>
      <c r="E28" s="108"/>
      <c r="F28" s="108"/>
      <c r="G28" s="108"/>
      <c r="H28" s="108"/>
      <c r="I28" s="108"/>
    </row>
    <row r="29" spans="1:9" ht="15">
      <c r="A29" s="108" t="s">
        <v>204</v>
      </c>
      <c r="B29" s="108"/>
      <c r="C29" s="108"/>
      <c r="D29" s="108"/>
      <c r="E29" s="108"/>
      <c r="F29" s="108"/>
      <c r="G29" s="108"/>
      <c r="H29" s="108"/>
      <c r="I29" s="108"/>
    </row>
    <row r="30" spans="1:9" ht="15">
      <c r="A30" s="108" t="s">
        <v>205</v>
      </c>
      <c r="B30" s="108"/>
      <c r="C30" s="108"/>
      <c r="D30" s="108"/>
      <c r="E30" s="108"/>
      <c r="F30" s="108"/>
      <c r="G30" s="108"/>
      <c r="H30" s="108"/>
      <c r="I30" s="108"/>
    </row>
    <row r="31" spans="1:9" ht="15">
      <c r="A31" s="108" t="s">
        <v>273</v>
      </c>
      <c r="B31" s="108"/>
      <c r="C31" s="108"/>
      <c r="D31" s="108"/>
      <c r="E31" s="108"/>
      <c r="F31" s="108"/>
      <c r="G31" s="108"/>
      <c r="H31" s="108"/>
      <c r="I31" s="108"/>
    </row>
    <row r="32" spans="1:9" ht="15">
      <c r="A32" s="108" t="s">
        <v>272</v>
      </c>
      <c r="B32" s="108"/>
      <c r="C32" s="108"/>
      <c r="D32" s="108"/>
      <c r="E32" s="108"/>
      <c r="F32" s="108"/>
      <c r="G32" s="108"/>
      <c r="H32" s="108"/>
      <c r="I32" s="108"/>
    </row>
    <row r="33" spans="1:9" ht="15">
      <c r="A33" s="108" t="s">
        <v>216</v>
      </c>
      <c r="B33" s="108"/>
      <c r="C33" s="108"/>
      <c r="D33" s="108"/>
      <c r="E33" s="108"/>
      <c r="F33" s="108"/>
      <c r="G33" s="108"/>
      <c r="H33" s="108"/>
      <c r="I33" s="108"/>
    </row>
    <row r="34" spans="1:9" ht="15">
      <c r="A34" s="108" t="s">
        <v>207</v>
      </c>
      <c r="B34" s="108"/>
      <c r="C34" s="108"/>
      <c r="D34" s="108"/>
      <c r="E34" s="108"/>
      <c r="F34" s="108"/>
      <c r="G34" s="108"/>
      <c r="H34" s="108"/>
      <c r="I34" s="108"/>
    </row>
    <row r="35" spans="1:9" ht="15">
      <c r="A35" s="108" t="s">
        <v>206</v>
      </c>
      <c r="B35" s="108"/>
      <c r="C35" s="108"/>
      <c r="D35" s="108"/>
      <c r="E35" s="108"/>
      <c r="F35" s="108"/>
      <c r="G35" s="108"/>
      <c r="H35" s="108"/>
      <c r="I35" s="108"/>
    </row>
    <row r="36" spans="1:9" ht="15">
      <c r="A36" s="108" t="s">
        <v>208</v>
      </c>
      <c r="B36" s="108"/>
      <c r="C36" s="108"/>
      <c r="D36" s="108"/>
      <c r="E36" s="108"/>
      <c r="F36" s="108"/>
      <c r="G36" s="108"/>
      <c r="H36" s="108"/>
      <c r="I36" s="108"/>
    </row>
    <row r="37" spans="1:9" ht="15">
      <c r="A37" s="108" t="s">
        <v>209</v>
      </c>
      <c r="B37" s="108"/>
      <c r="C37" s="108"/>
      <c r="D37" s="108"/>
      <c r="E37" s="108"/>
      <c r="F37" s="108"/>
      <c r="G37" s="108"/>
      <c r="H37" s="108"/>
      <c r="I37" s="108"/>
    </row>
    <row r="38" spans="1:9" ht="15">
      <c r="A38" s="108" t="s">
        <v>210</v>
      </c>
      <c r="B38" s="108"/>
      <c r="C38" s="108"/>
      <c r="D38" s="108"/>
      <c r="E38" s="108"/>
      <c r="F38" s="108"/>
      <c r="G38" s="108"/>
      <c r="H38" s="108"/>
      <c r="I38" s="108"/>
    </row>
    <row r="39" spans="1:9" ht="15">
      <c r="A39" s="108" t="s">
        <v>211</v>
      </c>
      <c r="B39" s="108"/>
      <c r="C39" s="108"/>
      <c r="D39" s="108"/>
      <c r="E39" s="108"/>
      <c r="F39" s="108"/>
      <c r="G39" s="108"/>
      <c r="H39" s="108"/>
      <c r="I39" s="108"/>
    </row>
    <row r="40" spans="1:9" ht="15">
      <c r="A40" s="108" t="s">
        <v>212</v>
      </c>
      <c r="B40" s="108"/>
      <c r="C40" s="108"/>
      <c r="D40" s="108"/>
      <c r="E40" s="108"/>
      <c r="F40" s="108"/>
      <c r="G40" s="108"/>
      <c r="H40" s="108"/>
      <c r="I40" s="108"/>
    </row>
    <row r="41" spans="1:9" ht="15">
      <c r="A41" s="108" t="s">
        <v>213</v>
      </c>
      <c r="B41" s="108"/>
      <c r="C41" s="108"/>
      <c r="D41" s="108"/>
      <c r="E41" s="108"/>
      <c r="F41" s="108"/>
      <c r="G41" s="108"/>
      <c r="H41" s="108"/>
      <c r="I41" s="108"/>
    </row>
    <row r="42" spans="1:9" ht="15">
      <c r="A42" s="108" t="s">
        <v>214</v>
      </c>
      <c r="B42" s="108"/>
      <c r="C42" s="108"/>
      <c r="D42" s="108"/>
      <c r="E42" s="108"/>
      <c r="F42" s="108"/>
      <c r="G42" s="108"/>
      <c r="H42" s="108"/>
      <c r="I42" s="108"/>
    </row>
    <row r="43" spans="1:9" ht="15">
      <c r="A43" s="108"/>
      <c r="B43" s="108"/>
      <c r="C43" s="108"/>
      <c r="D43" s="108"/>
      <c r="E43" s="108"/>
      <c r="F43" s="108"/>
      <c r="G43" s="108"/>
      <c r="H43" s="108"/>
      <c r="I43" s="108"/>
    </row>
    <row r="44" spans="1:9" ht="15">
      <c r="A44" s="108"/>
      <c r="B44" s="108" t="s">
        <v>215</v>
      </c>
      <c r="C44" s="108"/>
      <c r="D44" s="108"/>
      <c r="E44" s="108"/>
      <c r="F44" s="108"/>
      <c r="G44" s="108"/>
      <c r="H44" s="108"/>
      <c r="I44" s="108"/>
    </row>
    <row r="45" spans="1:9" ht="15">
      <c r="A45" s="108"/>
      <c r="B45" s="108"/>
      <c r="C45" s="108"/>
      <c r="D45" s="108"/>
      <c r="E45" s="108"/>
      <c r="F45" s="108"/>
      <c r="G45" s="108"/>
      <c r="H45" s="108"/>
      <c r="I45" s="108"/>
    </row>
  </sheetData>
  <printOptions/>
  <pageMargins left="0.7874015748031497" right="0.8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F5" sqref="F5"/>
    </sheetView>
  </sheetViews>
  <sheetFormatPr defaultColWidth="9.00390625" defaultRowHeight="12.75"/>
  <sheetData>
    <row r="1" spans="1:9" ht="15">
      <c r="A1" s="108"/>
      <c r="B1" s="108"/>
      <c r="C1" s="155"/>
      <c r="D1" s="155"/>
      <c r="E1" s="155"/>
      <c r="F1" s="155"/>
      <c r="G1" s="155"/>
      <c r="H1" s="108"/>
      <c r="I1" s="108"/>
    </row>
    <row r="2" spans="1:9" ht="1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5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5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5">
      <c r="A7" s="108"/>
      <c r="B7" s="108"/>
      <c r="C7" s="108"/>
      <c r="D7" s="108"/>
      <c r="E7" s="108"/>
      <c r="F7" s="108"/>
      <c r="G7" s="108"/>
      <c r="H7" s="108"/>
      <c r="I7" s="108"/>
    </row>
    <row r="8" spans="1:9" ht="15">
      <c r="A8" s="108"/>
      <c r="B8" s="108"/>
      <c r="C8" s="108"/>
      <c r="D8" s="108"/>
      <c r="E8" s="108"/>
      <c r="F8" s="108"/>
      <c r="G8" s="108"/>
      <c r="H8" s="108"/>
      <c r="I8" s="108"/>
    </row>
    <row r="9" spans="1:9" ht="15">
      <c r="A9" s="108"/>
      <c r="B9" s="108"/>
      <c r="C9" s="108"/>
      <c r="D9" s="108"/>
      <c r="E9" s="108"/>
      <c r="F9" s="108"/>
      <c r="G9" s="108"/>
      <c r="H9" s="108"/>
      <c r="I9" s="108"/>
    </row>
    <row r="10" spans="1:9" ht="1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5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5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ht="1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ht="1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15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ht="1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ht="15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ht="15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ht="15">
      <c r="A19" s="108"/>
      <c r="B19" s="108"/>
      <c r="C19" s="108"/>
      <c r="D19" s="108"/>
      <c r="E19" s="108"/>
      <c r="F19" s="108"/>
      <c r="G19" s="108"/>
      <c r="H19" s="108"/>
      <c r="I19" s="108"/>
    </row>
    <row r="20" spans="1:9" ht="1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ht="15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ht="15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ht="15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ht="1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ht="15">
      <c r="A25" s="108"/>
      <c r="B25" s="108"/>
      <c r="C25" s="108"/>
      <c r="D25" s="108"/>
      <c r="E25" s="108"/>
      <c r="F25" s="108"/>
      <c r="G25" s="108"/>
      <c r="H25" s="108"/>
      <c r="I25" s="108"/>
    </row>
    <row r="26" spans="1:9" ht="15">
      <c r="A26" s="108"/>
      <c r="B26" s="108"/>
      <c r="C26" s="108"/>
      <c r="D26" s="108"/>
      <c r="E26" s="108"/>
      <c r="F26" s="108"/>
      <c r="G26" s="108"/>
      <c r="H26" s="108"/>
      <c r="I26" s="108"/>
    </row>
    <row r="27" spans="1:9" ht="15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9" ht="15">
      <c r="A28" s="108"/>
      <c r="B28" s="108"/>
      <c r="C28" s="108"/>
      <c r="D28" s="108"/>
      <c r="E28" s="108"/>
      <c r="F28" s="108"/>
      <c r="G28" s="108"/>
      <c r="H28" s="108"/>
      <c r="I28" s="108"/>
    </row>
    <row r="29" spans="1:9" ht="15">
      <c r="A29" s="108"/>
      <c r="B29" s="108"/>
      <c r="C29" s="108"/>
      <c r="D29" s="108"/>
      <c r="E29" s="108"/>
      <c r="F29" s="108"/>
      <c r="G29" s="108"/>
      <c r="H29" s="108"/>
      <c r="I29" s="108"/>
    </row>
    <row r="30" spans="1:9" ht="15">
      <c r="A30" s="108"/>
      <c r="B30" s="108"/>
      <c r="C30" s="108"/>
      <c r="D30" s="108"/>
      <c r="E30" s="108"/>
      <c r="F30" s="108"/>
      <c r="G30" s="108"/>
      <c r="H30" s="108"/>
      <c r="I30" s="108"/>
    </row>
    <row r="31" spans="1:9" ht="15">
      <c r="A31" s="108"/>
      <c r="B31" s="108"/>
      <c r="C31" s="108"/>
      <c r="D31" s="108"/>
      <c r="E31" s="108"/>
      <c r="F31" s="108"/>
      <c r="G31" s="108"/>
      <c r="H31" s="108"/>
      <c r="I31" s="108"/>
    </row>
    <row r="32" spans="1:9" ht="15">
      <c r="A32" s="108"/>
      <c r="B32" s="108"/>
      <c r="C32" s="108"/>
      <c r="D32" s="108"/>
      <c r="E32" s="108"/>
      <c r="F32" s="108"/>
      <c r="G32" s="108"/>
      <c r="H32" s="108"/>
      <c r="I32" s="108"/>
    </row>
    <row r="33" spans="1:9" ht="15">
      <c r="A33" s="108"/>
      <c r="B33" s="108"/>
      <c r="C33" s="108"/>
      <c r="D33" s="108"/>
      <c r="E33" s="108"/>
      <c r="F33" s="108"/>
      <c r="G33" s="108"/>
      <c r="H33" s="108"/>
      <c r="I33" s="108"/>
    </row>
    <row r="34" spans="1:9" ht="15">
      <c r="A34" s="108"/>
      <c r="B34" s="108"/>
      <c r="C34" s="108"/>
      <c r="D34" s="108"/>
      <c r="E34" s="108"/>
      <c r="F34" s="108"/>
      <c r="G34" s="108"/>
      <c r="H34" s="108"/>
      <c r="I34" s="108"/>
    </row>
    <row r="35" spans="1:9" ht="15">
      <c r="A35" s="108"/>
      <c r="B35" s="108"/>
      <c r="C35" s="108"/>
      <c r="D35" s="108"/>
      <c r="E35" s="108"/>
      <c r="F35" s="108"/>
      <c r="G35" s="108"/>
      <c r="H35" s="108"/>
      <c r="I35" s="108"/>
    </row>
    <row r="36" spans="1:9" ht="15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9" ht="15">
      <c r="A37" s="108"/>
      <c r="B37" s="108"/>
      <c r="C37" s="108"/>
      <c r="D37" s="108"/>
      <c r="E37" s="108"/>
      <c r="F37" s="108"/>
      <c r="G37" s="108"/>
      <c r="H37" s="108"/>
      <c r="I37" s="108"/>
    </row>
    <row r="38" spans="1:9" ht="15">
      <c r="A38" s="108"/>
      <c r="B38" s="108"/>
      <c r="C38" s="108"/>
      <c r="D38" s="108"/>
      <c r="E38" s="108"/>
      <c r="F38" s="108"/>
      <c r="G38" s="108"/>
      <c r="H38" s="108"/>
      <c r="I38" s="108"/>
    </row>
    <row r="39" spans="1:9" ht="15">
      <c r="A39" s="108"/>
      <c r="B39" s="108"/>
      <c r="C39" s="108"/>
      <c r="D39" s="108"/>
      <c r="E39" s="108"/>
      <c r="F39" s="108"/>
      <c r="G39" s="108"/>
      <c r="H39" s="108"/>
      <c r="I39" s="108"/>
    </row>
    <row r="40" spans="1:9" ht="15">
      <c r="A40" s="108"/>
      <c r="B40" s="108"/>
      <c r="C40" s="108"/>
      <c r="D40" s="108"/>
      <c r="E40" s="108"/>
      <c r="F40" s="108"/>
      <c r="G40" s="108"/>
      <c r="H40" s="108"/>
      <c r="I40" s="108"/>
    </row>
    <row r="41" spans="1:9" ht="1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ht="15">
      <c r="A42" s="108"/>
      <c r="B42" s="108"/>
      <c r="C42" s="108"/>
      <c r="D42" s="108"/>
      <c r="E42" s="108"/>
      <c r="F42" s="108"/>
      <c r="G42" s="108"/>
      <c r="H42" s="108"/>
      <c r="I42" s="108"/>
    </row>
    <row r="43" spans="1:9" ht="15">
      <c r="A43" s="108"/>
      <c r="B43" s="108"/>
      <c r="C43" s="108"/>
      <c r="D43" s="108"/>
      <c r="E43" s="108"/>
      <c r="F43" s="108"/>
      <c r="G43" s="108"/>
      <c r="H43" s="108"/>
      <c r="I43" s="108"/>
    </row>
    <row r="44" spans="1:9" ht="15">
      <c r="A44" s="108"/>
      <c r="B44" s="108"/>
      <c r="C44" s="108"/>
      <c r="D44" s="108"/>
      <c r="E44" s="108"/>
      <c r="F44" s="108"/>
      <c r="G44" s="108"/>
      <c r="H44" s="108"/>
      <c r="I44" s="108"/>
    </row>
    <row r="45" spans="1:9" ht="15">
      <c r="A45" s="108"/>
      <c r="B45" s="108"/>
      <c r="C45" s="108"/>
      <c r="D45" s="108"/>
      <c r="E45" s="108"/>
      <c r="F45" s="108"/>
      <c r="G45" s="108"/>
      <c r="H45" s="108"/>
      <c r="I45" s="108"/>
    </row>
    <row r="46" spans="1:9" ht="15">
      <c r="A46" s="108"/>
      <c r="B46" s="108"/>
      <c r="C46" s="108"/>
      <c r="D46" s="108"/>
      <c r="E46" s="108"/>
      <c r="F46" s="108"/>
      <c r="G46" s="108"/>
      <c r="H46" s="108"/>
      <c r="I46" s="108"/>
    </row>
    <row r="47" spans="1:9" ht="15">
      <c r="A47" s="108"/>
      <c r="B47" s="108"/>
      <c r="C47" s="108"/>
      <c r="D47" s="108"/>
      <c r="E47" s="108"/>
      <c r="F47" s="108"/>
      <c r="G47" s="108"/>
      <c r="H47" s="108"/>
      <c r="I47" s="108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="65" zoomScaleNormal="65" workbookViewId="0" topLeftCell="A1">
      <selection activeCell="R13" sqref="R13"/>
    </sheetView>
  </sheetViews>
  <sheetFormatPr defaultColWidth="9.00390625" defaultRowHeight="12.75" customHeight="1"/>
  <cols>
    <col min="1" max="9" width="9.125" style="10" customWidth="1"/>
    <col min="10" max="10" width="9.375" style="10" bestFit="1" customWidth="1"/>
    <col min="11" max="12" width="9.125" style="10" customWidth="1"/>
    <col min="13" max="13" width="10.25390625" style="10" customWidth="1"/>
    <col min="14" max="19" width="9.125" style="10" customWidth="1"/>
    <col min="20" max="20" width="10.25390625" style="10" bestFit="1" customWidth="1"/>
    <col min="21" max="16384" width="9.125" style="10" customWidth="1"/>
  </cols>
  <sheetData>
    <row r="1" spans="1:17" ht="11.25" customHeight="1" thickBot="1">
      <c r="A1" s="71" t="s">
        <v>1</v>
      </c>
      <c r="B1" s="71" t="s">
        <v>51</v>
      </c>
      <c r="C1" s="141" t="s">
        <v>52</v>
      </c>
      <c r="D1" s="71" t="s">
        <v>0</v>
      </c>
      <c r="E1" s="141" t="s">
        <v>1</v>
      </c>
      <c r="F1" s="71" t="s">
        <v>70</v>
      </c>
      <c r="G1" s="141" t="s">
        <v>291</v>
      </c>
      <c r="H1" s="71" t="s">
        <v>8</v>
      </c>
      <c r="I1" s="71" t="s">
        <v>54</v>
      </c>
      <c r="J1" s="76" t="s">
        <v>22</v>
      </c>
      <c r="K1" s="235" t="s">
        <v>21</v>
      </c>
      <c r="L1" s="236"/>
      <c r="M1" s="236"/>
      <c r="N1" s="236"/>
      <c r="O1" s="236"/>
      <c r="P1" s="236"/>
      <c r="Q1" s="237"/>
    </row>
    <row r="2" spans="1:19" ht="12.75" customHeight="1" thickBot="1">
      <c r="A2" s="11">
        <v>0</v>
      </c>
      <c r="B2" s="103">
        <v>358</v>
      </c>
      <c r="C2" s="103">
        <v>358</v>
      </c>
      <c r="D2" s="87">
        <f>PRODUCT(0.5,SUM(K3,L3))</f>
        <v>-2</v>
      </c>
      <c r="E2" s="12">
        <v>0</v>
      </c>
      <c r="F2" s="19">
        <f>D2-A2</f>
        <v>-2</v>
      </c>
      <c r="G2" s="55">
        <f>($N$10*SIN(RADIANS(0))+$N$12*SIN(RADIANS(90)))+($N$14*SIN(RADIANS(0))+$N$4)+($N$6*SIN(RADIANS(0))+$N$8*SIN(RADIANS(90)))</f>
        <v>-2.495736709832241</v>
      </c>
      <c r="H2" s="21">
        <f>F2-G2</f>
        <v>0.49573670983224094</v>
      </c>
      <c r="I2" s="88" t="str">
        <f>IF(ABS(H2)&gt;1,"неудовлетворительно",IF(ABS(H2)&gt;0.8,"удовлетворительно",IF(ABS(H2)&gt;0.5,"хорошо",IF(ABS(H2)&lt;=0.5,"отлично"))))</f>
        <v>отлично</v>
      </c>
      <c r="J2" s="137">
        <f>(F2+G2)/2</f>
        <v>-2.2478683549161205</v>
      </c>
      <c r="K2" s="238"/>
      <c r="L2" s="238"/>
      <c r="M2" s="238"/>
      <c r="N2" s="238"/>
      <c r="O2" s="238"/>
      <c r="P2" s="238"/>
      <c r="Q2" s="239"/>
      <c r="S2" s="93">
        <f>ABS(H2)</f>
        <v>0.49573670983224094</v>
      </c>
    </row>
    <row r="3" spans="1:19" ht="12.75" customHeight="1" thickBot="1">
      <c r="A3" s="13">
        <v>10</v>
      </c>
      <c r="B3" s="104">
        <v>7.7</v>
      </c>
      <c r="C3" s="104">
        <v>7.7</v>
      </c>
      <c r="D3" s="86">
        <f aca="true" t="shared" si="0" ref="D3:D18">PRODUCT(0.5,SUM(B3,C3))</f>
        <v>7.7</v>
      </c>
      <c r="E3" s="14">
        <v>10</v>
      </c>
      <c r="F3" s="20">
        <f>D3-A3</f>
        <v>-2.3</v>
      </c>
      <c r="G3" s="57">
        <f>($N$10*SIN(RADIANS(20))+$N$12*SIN(RADIANS(70)))+($N$14*SIN(RADIANS(40))+$N$4)+($N$6*SIN(RADIANS(10))+$N$8*SIN(RADIANS(80)))</f>
        <v>-2.708874724129973</v>
      </c>
      <c r="H3" s="22">
        <f aca="true" t="shared" si="1" ref="H3:H18">F3-G3</f>
        <v>0.4088747241299733</v>
      </c>
      <c r="I3" s="88" t="str">
        <f aca="true" t="shared" si="2" ref="I3:I38">IF(ABS(H3)&gt;1,"неудовлетворительно",IF(ABS(H3)&gt;0.8,"удовлетворительно",IF(ABS(H3)&gt;0.5,"хорошо",IF(ABS(H3)&lt;=0.5,"отлично"))))</f>
        <v>отлично</v>
      </c>
      <c r="J3" s="138">
        <f aca="true" t="shared" si="3" ref="J3:J38">(F3+G3)/2</f>
        <v>-2.5044373620649862</v>
      </c>
      <c r="K3" s="85">
        <f>IF(ABS(B2)&gt;340,B2-360,B2)</f>
        <v>-2</v>
      </c>
      <c r="L3" s="85">
        <f>IF(ABS(C2)&gt;340,C2-360,C2)</f>
        <v>-2</v>
      </c>
      <c r="S3" s="93">
        <f aca="true" t="shared" si="4" ref="S3:S38">ABS(H3)</f>
        <v>0.4088747241299733</v>
      </c>
    </row>
    <row r="4" spans="1:19" ht="12.75" customHeight="1" thickBot="1">
      <c r="A4" s="13">
        <v>20</v>
      </c>
      <c r="B4" s="104">
        <v>17.4</v>
      </c>
      <c r="C4" s="104">
        <v>17.4</v>
      </c>
      <c r="D4" s="13">
        <f t="shared" si="0"/>
        <v>17.4</v>
      </c>
      <c r="E4" s="14">
        <v>20</v>
      </c>
      <c r="F4" s="20">
        <f aca="true" t="shared" si="5" ref="F4:F37">D4-A4</f>
        <v>-2.6000000000000014</v>
      </c>
      <c r="G4" s="57">
        <f>($N$10*SIN(RADIANS(40))+$N$12*SIN(RADIANS(50)))+($N$14*SIN(RADIANS(80))+$N$4)+($N$6*SIN(RADIANS(20))+$N$8*SIN(RADIANS(70)))</f>
        <v>-2.7808972057556782</v>
      </c>
      <c r="H4" s="22">
        <f t="shared" si="1"/>
        <v>0.1808972057556768</v>
      </c>
      <c r="I4" s="88" t="str">
        <f t="shared" si="2"/>
        <v>отлично</v>
      </c>
      <c r="J4" s="138">
        <f t="shared" si="3"/>
        <v>-2.69044860287784</v>
      </c>
      <c r="M4" s="144" t="s">
        <v>3</v>
      </c>
      <c r="N4" s="147">
        <f>(F2+F6+F10+F14+F18+F22+F26+F30+F34)/9</f>
        <v>-0.5222222222222178</v>
      </c>
      <c r="O4" s="241" t="str">
        <f>IF(ABS(N4)&gt;2.5,"неудовлетворительно",IF(ABS(N4)&gt;1.8,"удовлетворительно",IF(ABS(N4)&gt;1,"хорошо",IF(ABS(N4)&lt;=1,"отлично"))))</f>
        <v>отлично</v>
      </c>
      <c r="P4" s="242"/>
      <c r="Q4" s="242"/>
      <c r="S4" s="93">
        <f t="shared" si="4"/>
        <v>0.1808972057556768</v>
      </c>
    </row>
    <row r="5" spans="1:19" ht="12.75" customHeight="1" thickBot="1">
      <c r="A5" s="13">
        <v>30</v>
      </c>
      <c r="B5" s="104">
        <v>27.4</v>
      </c>
      <c r="C5" s="104">
        <v>27.4</v>
      </c>
      <c r="D5" s="13">
        <f t="shared" si="0"/>
        <v>27.4</v>
      </c>
      <c r="E5" s="14">
        <v>30</v>
      </c>
      <c r="F5" s="20">
        <f t="shared" si="5"/>
        <v>-2.6000000000000014</v>
      </c>
      <c r="G5" s="57">
        <f>($N$10*SIN(RADIANS(60))+$N$12*SIN(RADIANS(30)))+($N$14*SIN(RADIANS(60))+$N$4)+($N$6*SIN(RADIANS(30))+$N$8*SIN(RADIANS(60)))</f>
        <v>-2.743164096901075</v>
      </c>
      <c r="H5" s="22">
        <f t="shared" si="1"/>
        <v>0.14316409690107346</v>
      </c>
      <c r="I5" s="88" t="str">
        <f t="shared" si="2"/>
        <v>отлично</v>
      </c>
      <c r="J5" s="138">
        <f t="shared" si="3"/>
        <v>-2.671582048450538</v>
      </c>
      <c r="L5" s="94"/>
      <c r="M5" s="145"/>
      <c r="N5" s="148"/>
      <c r="S5" s="93">
        <f t="shared" si="4"/>
        <v>0.14316409690107346</v>
      </c>
    </row>
    <row r="6" spans="1:19" ht="12.75" customHeight="1" thickBot="1">
      <c r="A6" s="13">
        <v>40</v>
      </c>
      <c r="B6" s="104">
        <v>37.5</v>
      </c>
      <c r="C6" s="104">
        <v>37.5</v>
      </c>
      <c r="D6" s="13">
        <f t="shared" si="0"/>
        <v>37.5</v>
      </c>
      <c r="E6" s="14">
        <v>40</v>
      </c>
      <c r="F6" s="20">
        <f t="shared" si="5"/>
        <v>-2.5</v>
      </c>
      <c r="G6" s="57">
        <f>($N$10*SIN(RADIANS(80))+$N$12*SIN(RADIANS(10)))+($N$14*SIN(RADIANS(20))+$N$4)+($N$6*SIN(RADIANS(40))+$N$8*SIN(RADIANS(50)))</f>
        <v>-2.5904950259751733</v>
      </c>
      <c r="H6" s="22">
        <f t="shared" si="1"/>
        <v>0.09049502597517334</v>
      </c>
      <c r="I6" s="88" t="str">
        <f t="shared" si="2"/>
        <v>отлично</v>
      </c>
      <c r="J6" s="138">
        <f t="shared" si="3"/>
        <v>-2.5452475129875864</v>
      </c>
      <c r="M6" s="146" t="s">
        <v>4</v>
      </c>
      <c r="N6" s="147">
        <f>(F2*SIN(RADIANS(0))+F6*SIN(RADIANS(40))+F10*SIN(RADIANS(80))+F14*SIN(RADIANS(60))+F18*SIN(RADIANS(20))+F22*SIN(RADIANS(-20))+F26*SIN(RADIANS(-60))+F30*SIN(RADIANS(-80))+F34*SIN(RADIANS(-40)))*2/9</f>
        <v>-0.44067538242879395</v>
      </c>
      <c r="S6" s="93">
        <f t="shared" si="4"/>
        <v>0.09049502597517334</v>
      </c>
    </row>
    <row r="7" spans="1:19" ht="12.75" customHeight="1" thickBot="1">
      <c r="A7" s="13">
        <v>50</v>
      </c>
      <c r="B7" s="104">
        <v>47.8</v>
      </c>
      <c r="C7" s="104">
        <v>47.8</v>
      </c>
      <c r="D7" s="13">
        <f t="shared" si="0"/>
        <v>47.8</v>
      </c>
      <c r="E7" s="14">
        <v>50</v>
      </c>
      <c r="F7" s="20">
        <f t="shared" si="5"/>
        <v>-2.200000000000003</v>
      </c>
      <c r="G7" s="57">
        <f>($N$10*SIN(RADIANS(80))+$N$12*SIN(RADIANS(-10)))+($N$14*SIN(RADIANS(-20))+$N$4)+($N$6*SIN(RADIANS(50))+$N$8*SIN(RADIANS(40)))</f>
        <v>-2.2874976710231785</v>
      </c>
      <c r="H7" s="22">
        <f t="shared" si="1"/>
        <v>0.08749767102317563</v>
      </c>
      <c r="I7" s="88" t="str">
        <f t="shared" si="2"/>
        <v>отлично</v>
      </c>
      <c r="J7" s="138">
        <f t="shared" si="3"/>
        <v>-2.2437488355115907</v>
      </c>
      <c r="M7" s="150"/>
      <c r="N7" s="148"/>
      <c r="S7" s="93">
        <f t="shared" si="4"/>
        <v>0.08749767102317563</v>
      </c>
    </row>
    <row r="8" spans="1:19" ht="12.75" customHeight="1" thickBot="1">
      <c r="A8" s="13">
        <v>60</v>
      </c>
      <c r="B8" s="104">
        <v>58.2</v>
      </c>
      <c r="C8" s="104">
        <v>58.2</v>
      </c>
      <c r="D8" s="13">
        <f t="shared" si="0"/>
        <v>58.2</v>
      </c>
      <c r="E8" s="14">
        <v>60</v>
      </c>
      <c r="F8" s="20">
        <f t="shared" si="5"/>
        <v>-1.7999999999999972</v>
      </c>
      <c r="G8" s="57">
        <f>($N$10*SIN(RADIANS(60))+$N$12*SIN(RADIANS(-30)))+($N$14*SIN(RADIANS(-60))+$N$4)+($N$6*SIN(RADIANS(60))+$N$8*SIN(RADIANS(30)))</f>
        <v>-1.7983280518565306</v>
      </c>
      <c r="H8" s="22">
        <f t="shared" si="1"/>
        <v>-0.0016719481434666061</v>
      </c>
      <c r="I8" s="88" t="str">
        <f t="shared" si="2"/>
        <v>отлично</v>
      </c>
      <c r="J8" s="138">
        <f t="shared" si="3"/>
        <v>-1.7991640259282637</v>
      </c>
      <c r="M8" s="146" t="s">
        <v>5</v>
      </c>
      <c r="N8" s="147">
        <f>(F2*SIN(RADIANS(90))+F6*SIN(RADIANS(50))+F10*SIN(RADIANS(10))+F14*SIN(RADIANS(-30))+F18*SIN(RADIANS(-70))+F22*SIN(RADIANS(-70))+F26*SIN(RADIANS(-30))+F30*SIN(RADIANS(10))+F34*SIN(RADIANS(50)))*2/9</f>
        <v>-0.5495909214278124</v>
      </c>
      <c r="S8" s="93">
        <f t="shared" si="4"/>
        <v>0.0016719481434666061</v>
      </c>
    </row>
    <row r="9" spans="1:20" ht="12.75" customHeight="1" thickBot="1">
      <c r="A9" s="13">
        <v>70</v>
      </c>
      <c r="B9" s="104">
        <v>68.7</v>
      </c>
      <c r="C9" s="104">
        <v>68.7</v>
      </c>
      <c r="D9" s="13">
        <f t="shared" si="0"/>
        <v>68.7</v>
      </c>
      <c r="E9" s="14">
        <v>70</v>
      </c>
      <c r="F9" s="20">
        <f t="shared" si="5"/>
        <v>-1.2999999999999972</v>
      </c>
      <c r="G9" s="57">
        <f>($N$10*SIN(RADIANS(40))+$N$12*SIN(RADIANS(-50)))+($N$14*SIN(RADIANS(-80))+$N$4)+($N$6*SIN(RADIANS(70))+$N$8*SIN(RADIANS(20)))</f>
        <v>-1.1243559195618267</v>
      </c>
      <c r="H9" s="22">
        <f t="shared" si="1"/>
        <v>-0.17564408043817048</v>
      </c>
      <c r="I9" s="88" t="str">
        <f t="shared" si="2"/>
        <v>отлично</v>
      </c>
      <c r="J9" s="138">
        <f t="shared" si="3"/>
        <v>-1.212177959780912</v>
      </c>
      <c r="M9" s="143"/>
      <c r="N9" s="148"/>
      <c r="S9" s="93">
        <f t="shared" si="4"/>
        <v>0.17564408043817048</v>
      </c>
      <c r="T9"/>
    </row>
    <row r="10" spans="1:22" ht="12.75" customHeight="1" thickBot="1">
      <c r="A10" s="13">
        <v>80</v>
      </c>
      <c r="B10" s="104">
        <v>79.2</v>
      </c>
      <c r="C10" s="104">
        <v>79.2</v>
      </c>
      <c r="D10" s="13">
        <f t="shared" si="0"/>
        <v>79.2</v>
      </c>
      <c r="E10" s="14">
        <v>80</v>
      </c>
      <c r="F10" s="20">
        <f t="shared" si="5"/>
        <v>-0.7999999999999972</v>
      </c>
      <c r="G10" s="57">
        <f>($N$10*SIN(RADIANS(20))+$N$12*SIN(RADIANS(-70)))+($N$14*SIN(RADIANS(-40))+$N$4)+($N$6*SIN(RADIANS(80))+$N$8*SIN(RADIANS(10)))</f>
        <v>-0.329607216485875</v>
      </c>
      <c r="H10" s="22">
        <f t="shared" si="1"/>
        <v>-0.47039278351412217</v>
      </c>
      <c r="I10" s="88" t="str">
        <f t="shared" si="2"/>
        <v>отлично</v>
      </c>
      <c r="J10" s="138">
        <f t="shared" si="3"/>
        <v>-0.5648036082429361</v>
      </c>
      <c r="M10" s="146" t="s">
        <v>6</v>
      </c>
      <c r="N10" s="147">
        <f>(F2*SIN(RADIANS(0))+F6*SIN(RADIANS(80))+F10*SIN(RADIANS(20))+F14*SIN(RADIANS(-60))+F18*SIN(RADIANS(-40))+F22*SIN(RADIANS(40))+F26*SIN(RADIANS(60))+F30*SIN(RADIANS(-20))+F34*SIN(RADIANS(-80)))*2/9</f>
        <v>-1.2380230229753548</v>
      </c>
      <c r="O10" s="241" t="str">
        <f>IF(ABS(N10)&gt;2.5,"неудовлетворительно",IF(ABS(N10)&gt;1.8,"удовлетворительно",IF(ABS(N10)&gt;1,"хорошо",IF(ABS(N10)&lt;=1,"отлично"))))</f>
        <v>хорошо</v>
      </c>
      <c r="P10" s="242"/>
      <c r="Q10" s="242"/>
      <c r="S10" s="93">
        <f t="shared" si="4"/>
        <v>0.47039278351412217</v>
      </c>
      <c r="T10" s="93">
        <f>MAX(S2:S38)</f>
        <v>0.8310362220078167</v>
      </c>
      <c r="U10" s="240" t="str">
        <f>IF(ABS(T10)&gt;1,"неудовлетворительно",IF(ABS(T10)&gt;0.8,"удовлетворительно",IF(ABS(T10)&gt;0.5,"хорошо",IF(ABS(T10)&lt;=0.5,"отлично"))))</f>
        <v>удовлетворительно</v>
      </c>
      <c r="V10" s="240"/>
    </row>
    <row r="11" spans="1:19" ht="12.75" customHeight="1" thickBot="1">
      <c r="A11" s="13">
        <v>90</v>
      </c>
      <c r="B11" s="104">
        <v>90</v>
      </c>
      <c r="C11" s="104">
        <v>90</v>
      </c>
      <c r="D11" s="13">
        <f t="shared" si="0"/>
        <v>90</v>
      </c>
      <c r="E11" s="14">
        <v>90</v>
      </c>
      <c r="F11" s="20">
        <f t="shared" si="5"/>
        <v>0</v>
      </c>
      <c r="G11" s="57">
        <f>($N$10*SIN(RADIANS(0))+$N$12*SIN(RADIANS(-90)))+($N$14*SIN(RADIANS(0))+$N$4)+($N$6*SIN(RADIANS(90))+$N$8*SIN(RADIANS(0)))</f>
        <v>0.46102596153119874</v>
      </c>
      <c r="H11" s="22">
        <f t="shared" si="1"/>
        <v>-0.46102596153119874</v>
      </c>
      <c r="I11" s="88" t="str">
        <f t="shared" si="2"/>
        <v>отлично</v>
      </c>
      <c r="J11" s="138">
        <f t="shared" si="3"/>
        <v>0.23051298076559937</v>
      </c>
      <c r="M11" s="143"/>
      <c r="N11" s="149"/>
      <c r="S11" s="93">
        <f t="shared" si="4"/>
        <v>0.46102596153119874</v>
      </c>
    </row>
    <row r="12" spans="1:19" ht="12.75" customHeight="1" thickBot="1">
      <c r="A12" s="13">
        <v>100</v>
      </c>
      <c r="B12" s="104">
        <v>100.9</v>
      </c>
      <c r="C12" s="104">
        <v>100.9</v>
      </c>
      <c r="D12" s="13">
        <f t="shared" si="0"/>
        <v>100.9</v>
      </c>
      <c r="E12" s="14">
        <v>100</v>
      </c>
      <c r="F12" s="20">
        <f t="shared" si="5"/>
        <v>0.9000000000000057</v>
      </c>
      <c r="G12" s="57">
        <f>($N$10*SIN(RADIANS(-20))+$N$12*SIN(RADIANS(-70)))+($N$14*SIN(RADIANS(40))+$N$4)+($N$6*SIN(RADIANS(80))+$N$8*SIN(RADIANS(-10)))</f>
        <v>1.0933026410956037</v>
      </c>
      <c r="H12" s="22">
        <f t="shared" si="1"/>
        <v>-0.19330264109559803</v>
      </c>
      <c r="I12" s="88" t="str">
        <f t="shared" si="2"/>
        <v>отлично</v>
      </c>
      <c r="J12" s="138">
        <f t="shared" si="3"/>
        <v>0.9966513205478047</v>
      </c>
      <c r="M12" s="146" t="s">
        <v>7</v>
      </c>
      <c r="N12" s="147">
        <f>(F2*SIN(RADIANS(90))+F6*SIN(RADIANS(10))+F10*SIN(RADIANS(-70))+F14*SIN(RADIANS(-30))+F18*SIN(RADIANS(50))+F22*SIN(RADIANS(50))+F26*SIN(RADIANS(-30))+F30*SIN(RADIANS(-70))+F34*SIN(RADIANS(10)))*2/9</f>
        <v>-1.4239235661822105</v>
      </c>
      <c r="S12" s="93">
        <f t="shared" si="4"/>
        <v>0.19330264109559803</v>
      </c>
    </row>
    <row r="13" spans="1:19" ht="12.75" customHeight="1" thickBot="1">
      <c r="A13" s="13">
        <v>110</v>
      </c>
      <c r="B13" s="104">
        <v>111.6</v>
      </c>
      <c r="C13" s="104">
        <v>111.6</v>
      </c>
      <c r="D13" s="13">
        <f t="shared" si="0"/>
        <v>111.6</v>
      </c>
      <c r="E13" s="14">
        <v>110</v>
      </c>
      <c r="F13" s="20">
        <f t="shared" si="5"/>
        <v>1.5999999999999943</v>
      </c>
      <c r="G13" s="57">
        <f>($N$10*SIN(RADIANS(-40))+$N$12*SIN(RADIANS(-50)))+($N$14*SIN(RADIANS(80))+$N$4)+($N$6*SIN(RADIANS(70))+$N$8*SIN(RADIANS(-20)))</f>
        <v>1.4332901356567809</v>
      </c>
      <c r="H13" s="22">
        <f t="shared" si="1"/>
        <v>0.16670986434321344</v>
      </c>
      <c r="I13" s="88" t="str">
        <f t="shared" si="2"/>
        <v>отлично</v>
      </c>
      <c r="J13" s="138">
        <f t="shared" si="3"/>
        <v>1.5166450678283876</v>
      </c>
      <c r="M13" s="145"/>
      <c r="N13" s="150"/>
      <c r="S13" s="93">
        <f t="shared" si="4"/>
        <v>0.16670986434321344</v>
      </c>
    </row>
    <row r="14" spans="1:19" ht="12.75" customHeight="1" thickBot="1">
      <c r="A14" s="13">
        <v>120</v>
      </c>
      <c r="B14" s="104">
        <v>121.7</v>
      </c>
      <c r="C14" s="104">
        <v>121.7</v>
      </c>
      <c r="D14" s="13">
        <f t="shared" si="0"/>
        <v>121.7</v>
      </c>
      <c r="E14" s="14">
        <v>120</v>
      </c>
      <c r="F14" s="20">
        <f t="shared" si="5"/>
        <v>1.7000000000000028</v>
      </c>
      <c r="G14" s="57">
        <f>($N$10*SIN(RADIANS(-60))+$N$12*SIN(RADIANS(-30)))+($N$14*SIN(RADIANS(60))+$N$4)+($N$6*SIN(RADIANS(60))+$N$8*SIN(RADIANS(-30)))</f>
        <v>1.414535021582789</v>
      </c>
      <c r="H14" s="22">
        <f t="shared" si="1"/>
        <v>0.28546497841721385</v>
      </c>
      <c r="I14" s="88" t="str">
        <f t="shared" si="2"/>
        <v>отлично</v>
      </c>
      <c r="J14" s="138">
        <f>(F14+G14)/2</f>
        <v>1.5572675107913958</v>
      </c>
      <c r="M14" s="143" t="s">
        <v>11</v>
      </c>
      <c r="N14" s="151">
        <f>(F2*SIN(RADIANS(0))+F6*SIN(RADIANS(20))+F10*SIN(RADIANS(-40))+F14*SIN(RADIANS(60))+F18*SIN(RADIANS(-80))+F22*SIN(RADIANS(80))+F26*SIN(RADIANS(-60))+F30*SIN(RADIANS(40))+F34*SIN(RADIANS(-20)))*2/9</f>
        <v>0.299617870913723</v>
      </c>
      <c r="S14" s="93">
        <f t="shared" si="4"/>
        <v>0.28546497841721385</v>
      </c>
    </row>
    <row r="15" spans="1:19" ht="12.75" customHeight="1" thickBot="1">
      <c r="A15" s="13">
        <v>130</v>
      </c>
      <c r="B15" s="104">
        <v>131.4</v>
      </c>
      <c r="C15" s="104">
        <v>131.4</v>
      </c>
      <c r="D15" s="13">
        <f t="shared" si="0"/>
        <v>131.4</v>
      </c>
      <c r="E15" s="14">
        <v>130</v>
      </c>
      <c r="F15" s="20">
        <f t="shared" si="5"/>
        <v>1.4000000000000057</v>
      </c>
      <c r="G15" s="57">
        <f>($N$10*SIN(RADIANS(-80))+$N$12*SIN(RADIANS(-10)))+($N$14*SIN(RADIANS(20))+$N$4)+($N$6*SIN(RADIANS(50))+$N$8*SIN(RADIANS(-40)))</f>
        <v>1.0624228355300014</v>
      </c>
      <c r="H15" s="22">
        <f t="shared" si="1"/>
        <v>0.3375771644700043</v>
      </c>
      <c r="I15" s="88" t="str">
        <f t="shared" si="2"/>
        <v>отлично</v>
      </c>
      <c r="J15" s="138">
        <f t="shared" si="3"/>
        <v>1.2312114177650035</v>
      </c>
      <c r="S15" s="93">
        <f t="shared" si="4"/>
        <v>0.3375771644700043</v>
      </c>
    </row>
    <row r="16" spans="1:19" ht="12.75" customHeight="1" thickBot="1">
      <c r="A16" s="13">
        <v>140</v>
      </c>
      <c r="B16" s="104">
        <v>140.8</v>
      </c>
      <c r="C16" s="104">
        <v>140.8</v>
      </c>
      <c r="D16" s="13">
        <f t="shared" si="0"/>
        <v>140.8</v>
      </c>
      <c r="E16" s="14">
        <v>140</v>
      </c>
      <c r="F16" s="20">
        <f t="shared" si="5"/>
        <v>0.8000000000000114</v>
      </c>
      <c r="G16" s="57">
        <f>($N$10*SIN(RADIANS(-80))+$N$12*SIN(RADIANS(10)))+($N$14*SIN(RADIANS(-20))+$N$4)+($N$6*SIN(RADIANS(40))+$N$8*SIN(RADIANS(-50)))</f>
        <v>0.48500576528345035</v>
      </c>
      <c r="H16" s="22">
        <f t="shared" si="1"/>
        <v>0.314994234716561</v>
      </c>
      <c r="I16" s="88" t="str">
        <f t="shared" si="2"/>
        <v>отлично</v>
      </c>
      <c r="J16" s="138">
        <f t="shared" si="3"/>
        <v>0.6425028826417308</v>
      </c>
      <c r="S16" s="93">
        <f t="shared" si="4"/>
        <v>0.314994234716561</v>
      </c>
    </row>
    <row r="17" spans="1:19" ht="12.75" customHeight="1" thickBot="1">
      <c r="A17" s="13">
        <v>150</v>
      </c>
      <c r="B17" s="104">
        <v>150.2</v>
      </c>
      <c r="C17" s="104">
        <v>150.2</v>
      </c>
      <c r="D17" s="13">
        <f t="shared" si="0"/>
        <v>150.2</v>
      </c>
      <c r="E17" s="14">
        <v>150</v>
      </c>
      <c r="F17" s="20">
        <f t="shared" si="5"/>
        <v>0.19999999999998863</v>
      </c>
      <c r="G17" s="57">
        <f>($N$10*SIN(RADIANS(-60))+$N$12*SIN(RADIANS(30)))+($N$14*SIN(RADIANS(-60))+$N$4)+($N$6*SIN(RADIANS(30))+$N$8*SIN(RADIANS(-60)))</f>
        <v>-0.1658792961543648</v>
      </c>
      <c r="H17" s="22">
        <f t="shared" si="1"/>
        <v>0.36587929615435344</v>
      </c>
      <c r="I17" s="88" t="str">
        <f t="shared" si="2"/>
        <v>отлично</v>
      </c>
      <c r="J17" s="138">
        <f t="shared" si="3"/>
        <v>0.01706035192281191</v>
      </c>
      <c r="S17" s="93">
        <f t="shared" si="4"/>
        <v>0.36587929615435344</v>
      </c>
    </row>
    <row r="18" spans="1:19" ht="12.75" customHeight="1" thickBot="1">
      <c r="A18" s="13">
        <v>160</v>
      </c>
      <c r="B18" s="104">
        <v>159.5</v>
      </c>
      <c r="C18" s="104">
        <v>159.5</v>
      </c>
      <c r="D18" s="13">
        <f t="shared" si="0"/>
        <v>159.5</v>
      </c>
      <c r="E18" s="14">
        <v>160</v>
      </c>
      <c r="F18" s="20">
        <f t="shared" si="5"/>
        <v>-0.5</v>
      </c>
      <c r="G18" s="57">
        <f>($N$10*SIN(RADIANS(-40))+$N$12*SIN(RADIANS(50)))+($N$14*SIN(RADIANS(-80))+$N$4)+($N$6*SIN(RADIANS(20))+$N$8*SIN(RADIANS(-70)))</f>
        <v>-0.746564424205619</v>
      </c>
      <c r="H18" s="22">
        <f t="shared" si="1"/>
        <v>0.24656442420561897</v>
      </c>
      <c r="I18" s="88" t="str">
        <f t="shared" si="2"/>
        <v>отлично</v>
      </c>
      <c r="J18" s="138">
        <f t="shared" si="3"/>
        <v>-0.6232822121028094</v>
      </c>
      <c r="S18" s="93">
        <f t="shared" si="4"/>
        <v>0.24656442420561897</v>
      </c>
    </row>
    <row r="19" spans="1:19" ht="12.75" customHeight="1" thickBot="1">
      <c r="A19" s="13">
        <v>170</v>
      </c>
      <c r="B19" s="104">
        <v>169</v>
      </c>
      <c r="C19" s="104">
        <v>169</v>
      </c>
      <c r="D19" s="13">
        <f aca="true" t="shared" si="6" ref="D19:D34">PRODUCT(0.5,SUM(B19,C19))</f>
        <v>169</v>
      </c>
      <c r="E19" s="14">
        <v>170</v>
      </c>
      <c r="F19" s="20">
        <f>D19-A19</f>
        <v>-1</v>
      </c>
      <c r="G19" s="57">
        <f>($N$10*SIN(RADIANS(-20))+$N$12*SIN(RADIANS(70)))+($N$14*SIN(RADIANS(-40))+$N$4)+($N$6*SIN(RADIANS(10))+$N$8*SIN(RADIANS(-80)))</f>
        <v>-1.1647156099264944</v>
      </c>
      <c r="H19" s="22">
        <f aca="true" t="shared" si="7" ref="H19:H34">F19-G19</f>
        <v>0.16471560992649437</v>
      </c>
      <c r="I19" s="88" t="str">
        <f t="shared" si="2"/>
        <v>отлично</v>
      </c>
      <c r="J19" s="138">
        <f t="shared" si="3"/>
        <v>-1.0823578049632472</v>
      </c>
      <c r="S19" s="93">
        <f t="shared" si="4"/>
        <v>0.16471560992649437</v>
      </c>
    </row>
    <row r="20" spans="1:19" ht="12.75" customHeight="1" thickBot="1">
      <c r="A20" s="13">
        <v>180</v>
      </c>
      <c r="B20" s="104">
        <v>178.5</v>
      </c>
      <c r="C20" s="104">
        <v>178.5</v>
      </c>
      <c r="D20" s="13">
        <f t="shared" si="6"/>
        <v>178.5</v>
      </c>
      <c r="E20" s="14">
        <v>180</v>
      </c>
      <c r="F20" s="20">
        <f t="shared" si="5"/>
        <v>-1.5</v>
      </c>
      <c r="G20" s="57">
        <f>($N$10*SIN(RADIANS(0))+$N$12*SIN(RADIANS(90)))+($N$14*SIN(RADIANS(0))+$N$4)-($N$6*SIN(RADIANS(0))+$N$8*SIN(RADIANS(90)))</f>
        <v>-1.396554866976616</v>
      </c>
      <c r="H20" s="22">
        <f t="shared" si="7"/>
        <v>-0.1034451330233841</v>
      </c>
      <c r="I20" s="88" t="str">
        <f t="shared" si="2"/>
        <v>отлично</v>
      </c>
      <c r="J20" s="138">
        <f t="shared" si="3"/>
        <v>-1.448277433488308</v>
      </c>
      <c r="S20" s="93">
        <f t="shared" si="4"/>
        <v>0.1034451330233841</v>
      </c>
    </row>
    <row r="21" spans="1:19" ht="12.75" customHeight="1" thickBot="1">
      <c r="A21" s="13">
        <v>190</v>
      </c>
      <c r="B21" s="104">
        <v>188.3</v>
      </c>
      <c r="C21" s="104">
        <v>188.3</v>
      </c>
      <c r="D21" s="13">
        <f t="shared" si="6"/>
        <v>188.3</v>
      </c>
      <c r="E21" s="14">
        <v>190</v>
      </c>
      <c r="F21" s="20">
        <f t="shared" si="5"/>
        <v>-1.6999999999999886</v>
      </c>
      <c r="G21" s="57">
        <f>($N$10*SIN(RADIANS(20))+$N$12*SIN(RADIANS(70)))+($N$14*SIN(RADIANS(40))+$N$4)-($N$6*SIN(RADIANS(10))+$N$8*SIN(RADIANS(80)))</f>
        <v>-1.4733469691126317</v>
      </c>
      <c r="H21" s="22">
        <f t="shared" si="7"/>
        <v>-0.2266530308873569</v>
      </c>
      <c r="I21" s="88" t="str">
        <f t="shared" si="2"/>
        <v>отлично</v>
      </c>
      <c r="J21" s="138">
        <f t="shared" si="3"/>
        <v>-1.5866734845563102</v>
      </c>
      <c r="O21" s="52"/>
      <c r="S21" s="93">
        <f t="shared" si="4"/>
        <v>0.2266530308873569</v>
      </c>
    </row>
    <row r="22" spans="1:19" ht="12.75" customHeight="1" thickBot="1">
      <c r="A22" s="13">
        <v>200</v>
      </c>
      <c r="B22" s="104">
        <v>198</v>
      </c>
      <c r="C22" s="104">
        <v>198</v>
      </c>
      <c r="D22" s="13">
        <f t="shared" si="6"/>
        <v>198</v>
      </c>
      <c r="E22" s="14">
        <v>200</v>
      </c>
      <c r="F22" s="20">
        <f t="shared" si="5"/>
        <v>-2</v>
      </c>
      <c r="G22" s="59">
        <f>($N$10*SIN(RADIANS(40))+$N$12*SIN(RADIANS(50)))+($N$14*SIN(RADIANS(80))+$N$4)-($N$6*SIN(RADIANS(20))+$N$8*SIN(RADIANS(70)))</f>
        <v>-1.446564424205612</v>
      </c>
      <c r="H22" s="22">
        <f t="shared" si="7"/>
        <v>-0.5534355757943881</v>
      </c>
      <c r="I22" s="88" t="str">
        <f t="shared" si="2"/>
        <v>хорошо</v>
      </c>
      <c r="J22" s="138">
        <f t="shared" si="3"/>
        <v>-1.723282212102806</v>
      </c>
      <c r="S22" s="93">
        <f t="shared" si="4"/>
        <v>0.5534355757943881</v>
      </c>
    </row>
    <row r="23" spans="1:19" ht="12.75" customHeight="1" thickBot="1">
      <c r="A23" s="13">
        <v>210</v>
      </c>
      <c r="B23" s="104">
        <v>208.4</v>
      </c>
      <c r="C23" s="104">
        <v>208.4</v>
      </c>
      <c r="D23" s="13">
        <f t="shared" si="6"/>
        <v>208.4</v>
      </c>
      <c r="E23" s="14">
        <v>210</v>
      </c>
      <c r="F23" s="20">
        <f t="shared" si="5"/>
        <v>-1.5999999999999943</v>
      </c>
      <c r="G23" s="58">
        <f>($N$10*SIN(RADIANS(60))+$N$12*SIN(RADIANS(30)))+($N$14*SIN(RADIANS(60))+$N$4)-($N$6*SIN(RADIANS(30))+$N$8*SIN(RADIANS(60)))</f>
        <v>-1.3505693151807154</v>
      </c>
      <c r="H23" s="22">
        <f t="shared" si="7"/>
        <v>-0.24943068481927888</v>
      </c>
      <c r="I23" s="88" t="str">
        <f t="shared" si="2"/>
        <v>отлично</v>
      </c>
      <c r="J23" s="138">
        <f t="shared" si="3"/>
        <v>-1.4752846575903549</v>
      </c>
      <c r="S23" s="93">
        <f t="shared" si="4"/>
        <v>0.24943068481927888</v>
      </c>
    </row>
    <row r="24" spans="1:19" ht="12.75" customHeight="1" thickBot="1">
      <c r="A24" s="13">
        <v>220</v>
      </c>
      <c r="B24" s="104">
        <v>218.7</v>
      </c>
      <c r="C24" s="104">
        <v>218.7</v>
      </c>
      <c r="D24" s="13">
        <f t="shared" si="6"/>
        <v>218.7</v>
      </c>
      <c r="E24" s="14">
        <v>220</v>
      </c>
      <c r="F24" s="20">
        <f t="shared" si="5"/>
        <v>-1.3000000000000114</v>
      </c>
      <c r="G24" s="58">
        <f>($N$10*SIN(RADIANS(80))+$N$12*SIN(RADIANS(10)))+($N$14*SIN(RADIANS(20))+$N$4)-($N$6*SIN(RADIANS(40))+$N$8*SIN(RADIANS(50)))</f>
        <v>-1.1819515318401321</v>
      </c>
      <c r="H24" s="22">
        <f t="shared" si="7"/>
        <v>-0.11804846815987924</v>
      </c>
      <c r="I24" s="88" t="str">
        <f t="shared" si="2"/>
        <v>отлично</v>
      </c>
      <c r="J24" s="138">
        <f t="shared" si="3"/>
        <v>-1.2409757659200717</v>
      </c>
      <c r="S24" s="93">
        <f t="shared" si="4"/>
        <v>0.11804846815987924</v>
      </c>
    </row>
    <row r="25" spans="1:19" ht="12.75" customHeight="1" thickBot="1">
      <c r="A25" s="13">
        <v>230</v>
      </c>
      <c r="B25" s="104">
        <v>229.2</v>
      </c>
      <c r="C25" s="104">
        <v>229.2</v>
      </c>
      <c r="D25" s="13">
        <f t="shared" si="6"/>
        <v>229.2</v>
      </c>
      <c r="E25" s="14">
        <v>230</v>
      </c>
      <c r="F25" s="20">
        <f t="shared" si="5"/>
        <v>-0.8000000000000114</v>
      </c>
      <c r="G25" s="58">
        <f>($N$10*SIN(RADIANS(80))+$N$12*SIN(RADIANS(-10)))+($N$14*SIN(RADIANS(-20))+$N$4)-($N$6*SIN(RADIANS(50))+$N$8*SIN(RADIANS(40)))</f>
        <v>-0.9058033457853496</v>
      </c>
      <c r="H25" s="22">
        <f t="shared" si="7"/>
        <v>0.10580334578533823</v>
      </c>
      <c r="I25" s="88" t="str">
        <f t="shared" si="2"/>
        <v>отлично</v>
      </c>
      <c r="J25" s="138">
        <f t="shared" si="3"/>
        <v>-0.8529016728926805</v>
      </c>
      <c r="S25" s="93">
        <f t="shared" si="4"/>
        <v>0.10580334578533823</v>
      </c>
    </row>
    <row r="26" spans="1:19" ht="12.75" customHeight="1" thickBot="1">
      <c r="A26" s="13">
        <v>240</v>
      </c>
      <c r="B26" s="104">
        <v>239.8</v>
      </c>
      <c r="C26" s="104">
        <v>239.8</v>
      </c>
      <c r="D26" s="13">
        <f t="shared" si="6"/>
        <v>239.8</v>
      </c>
      <c r="E26" s="14">
        <v>240</v>
      </c>
      <c r="F26" s="20">
        <f t="shared" si="5"/>
        <v>-0.19999999999998863</v>
      </c>
      <c r="G26" s="58">
        <f>($N$10*SIN(RADIANS(60))+$N$12*SIN(RADIANS(-30)))+($N$14*SIN(RADIANS(-60))+$N$4)-($N$6*SIN(RADIANS(60))+$N$8*SIN(RADIANS(30)))</f>
        <v>-0.48546497841720204</v>
      </c>
      <c r="H26" s="22">
        <f t="shared" si="7"/>
        <v>0.2854649784172134</v>
      </c>
      <c r="I26" s="88" t="str">
        <f t="shared" si="2"/>
        <v>отлично</v>
      </c>
      <c r="J26" s="139">
        <f t="shared" si="3"/>
        <v>-0.34273248920859534</v>
      </c>
      <c r="S26" s="93">
        <f t="shared" si="4"/>
        <v>0.2854649784172134</v>
      </c>
    </row>
    <row r="27" spans="1:19" ht="12.75" customHeight="1" thickBot="1">
      <c r="A27" s="13">
        <v>250</v>
      </c>
      <c r="B27" s="104">
        <v>250.5</v>
      </c>
      <c r="C27" s="104">
        <v>250.5</v>
      </c>
      <c r="D27" s="13">
        <f t="shared" si="6"/>
        <v>250.5</v>
      </c>
      <c r="E27" s="14">
        <v>250</v>
      </c>
      <c r="F27" s="20">
        <f t="shared" si="5"/>
        <v>0.5</v>
      </c>
      <c r="G27" s="58">
        <f>($N$10*SIN(RADIANS(40))+$N$12*SIN(RADIANS(-50)))+($N$14*SIN(RADIANS(-80))+$N$4)-($N$6*SIN(RADIANS(70))+$N$8*SIN(RADIANS(20)))</f>
        <v>0.07978522193331838</v>
      </c>
      <c r="H27" s="22">
        <f t="shared" si="7"/>
        <v>0.4202147780666816</v>
      </c>
      <c r="I27" s="88" t="str">
        <f t="shared" si="2"/>
        <v>отлично</v>
      </c>
      <c r="J27" s="138">
        <f t="shared" si="3"/>
        <v>0.2898926109666592</v>
      </c>
      <c r="S27" s="93">
        <f t="shared" si="4"/>
        <v>0.4202147780666816</v>
      </c>
    </row>
    <row r="28" spans="1:19" ht="12.75" customHeight="1" thickBot="1">
      <c r="A28" s="13">
        <v>260</v>
      </c>
      <c r="B28" s="104">
        <v>261.3</v>
      </c>
      <c r="C28" s="104">
        <v>261.3</v>
      </c>
      <c r="D28" s="13">
        <f t="shared" si="6"/>
        <v>261.3</v>
      </c>
      <c r="E28" s="14">
        <v>260</v>
      </c>
      <c r="F28" s="20">
        <f t="shared" si="5"/>
        <v>1.3000000000000114</v>
      </c>
      <c r="G28" s="58">
        <f>($N$10*SIN(RADIANS(20))+$N$12*SIN(RADIANS(-70)))+($N$14*SIN(RADIANS(-40))+$N$4)-($N$6*SIN(RADIANS(80))+$N$8*SIN(RADIANS(10)))</f>
        <v>0.7292247738055744</v>
      </c>
      <c r="H28" s="22">
        <f t="shared" si="7"/>
        <v>0.570775226194437</v>
      </c>
      <c r="I28" s="88" t="str">
        <f t="shared" si="2"/>
        <v>хорошо</v>
      </c>
      <c r="J28" s="138">
        <f t="shared" si="3"/>
        <v>1.014612386902793</v>
      </c>
      <c r="S28" s="93">
        <f t="shared" si="4"/>
        <v>0.570775226194437</v>
      </c>
    </row>
    <row r="29" spans="1:19" ht="12.75" customHeight="1" thickBot="1">
      <c r="A29" s="13">
        <v>270</v>
      </c>
      <c r="B29" s="104">
        <v>271.9</v>
      </c>
      <c r="C29" s="104">
        <v>271.9</v>
      </c>
      <c r="D29" s="13">
        <f t="shared" si="6"/>
        <v>271.9</v>
      </c>
      <c r="E29" s="14">
        <v>270</v>
      </c>
      <c r="F29" s="20">
        <f t="shared" si="5"/>
        <v>1.8999999999999773</v>
      </c>
      <c r="G29" s="58">
        <f>($N$10*SIN(RADIANS(0))+$N$12*SIN(RADIANS(-90)))+($N$14*SIN(RADIANS(0))+$N$4)-($N$6*SIN(RADIANS(90))+$N$8*SIN(RADIANS(0)))</f>
        <v>1.3423767263887867</v>
      </c>
      <c r="H29" s="22">
        <f t="shared" si="7"/>
        <v>0.5576232736111906</v>
      </c>
      <c r="I29" s="88" t="str">
        <f t="shared" si="2"/>
        <v>хорошо</v>
      </c>
      <c r="J29" s="138">
        <f t="shared" si="3"/>
        <v>1.621188363194382</v>
      </c>
      <c r="S29" s="93">
        <f t="shared" si="4"/>
        <v>0.5576232736111906</v>
      </c>
    </row>
    <row r="30" spans="1:19" ht="12.75" customHeight="1" thickBot="1">
      <c r="A30" s="13">
        <v>280</v>
      </c>
      <c r="B30" s="104">
        <v>282.1</v>
      </c>
      <c r="C30" s="104">
        <v>282.1</v>
      </c>
      <c r="D30" s="13">
        <f t="shared" si="6"/>
        <v>282.1</v>
      </c>
      <c r="E30" s="14">
        <v>280</v>
      </c>
      <c r="F30" s="20">
        <f t="shared" si="5"/>
        <v>2.1000000000000227</v>
      </c>
      <c r="G30" s="58">
        <f>($N$10*SIN(RADIANS(-20))+$N$12*SIN(RADIANS(-70)))+($N$14*SIN(RADIANS(40))+$N$4)-($N$6*SIN(RADIANS(80))+$N$8*SIN(RADIANS(-10)))</f>
        <v>1.7703927835141382</v>
      </c>
      <c r="H30" s="22">
        <f t="shared" si="7"/>
        <v>0.32960721648588454</v>
      </c>
      <c r="I30" s="88" t="str">
        <f t="shared" si="2"/>
        <v>отлично</v>
      </c>
      <c r="J30" s="138">
        <f t="shared" si="3"/>
        <v>1.9351963917570805</v>
      </c>
      <c r="S30" s="93">
        <f t="shared" si="4"/>
        <v>0.32960721648588454</v>
      </c>
    </row>
    <row r="31" spans="1:19" ht="12.75" customHeight="1" thickBot="1">
      <c r="A31" s="13">
        <v>290</v>
      </c>
      <c r="B31" s="104">
        <v>291.9</v>
      </c>
      <c r="C31" s="104">
        <v>291.9</v>
      </c>
      <c r="D31" s="13">
        <f t="shared" si="6"/>
        <v>291.9</v>
      </c>
      <c r="E31" s="14">
        <v>290</v>
      </c>
      <c r="F31" s="20">
        <f t="shared" si="5"/>
        <v>1.8999999999999773</v>
      </c>
      <c r="G31" s="58">
        <f>($N$10*SIN(RADIANS(-40))+$N$12*SIN(RADIANS(-50)))+($N$14*SIN(RADIANS(80))+$N$4)-($N$6*SIN(RADIANS(70))+$N$8*SIN(RADIANS(-20)))</f>
        <v>1.8855466142830193</v>
      </c>
      <c r="H31" s="22">
        <f t="shared" si="7"/>
        <v>0.014453385716957978</v>
      </c>
      <c r="I31" s="88" t="str">
        <f t="shared" si="2"/>
        <v>отлично</v>
      </c>
      <c r="J31" s="138">
        <f t="shared" si="3"/>
        <v>1.8927733071414983</v>
      </c>
      <c r="S31" s="93">
        <f t="shared" si="4"/>
        <v>0.014453385716957978</v>
      </c>
    </row>
    <row r="32" spans="1:19" ht="12.75" customHeight="1" thickBot="1">
      <c r="A32" s="13">
        <v>300</v>
      </c>
      <c r="B32" s="104">
        <v>301.2</v>
      </c>
      <c r="C32" s="104">
        <v>301.2</v>
      </c>
      <c r="D32" s="13">
        <f t="shared" si="6"/>
        <v>301.2</v>
      </c>
      <c r="E32" s="14">
        <v>300</v>
      </c>
      <c r="F32" s="20">
        <f t="shared" si="5"/>
        <v>1.1999999999999886</v>
      </c>
      <c r="G32" s="58">
        <f>($N$10*SIN(RADIANS(-60))+$N$12*SIN(RADIANS(-30)))+($N$14*SIN(RADIANS(60))+$N$4)-($N$6*SIN(RADIANS(60))+$N$8*SIN(RADIANS(-30)))</f>
        <v>1.628216252166493</v>
      </c>
      <c r="H32" s="22">
        <f t="shared" si="7"/>
        <v>-0.4282162521665043</v>
      </c>
      <c r="I32" s="88" t="str">
        <f t="shared" si="2"/>
        <v>отлично</v>
      </c>
      <c r="J32" s="138">
        <f t="shared" si="3"/>
        <v>1.4141081260832409</v>
      </c>
      <c r="S32" s="93">
        <f t="shared" si="4"/>
        <v>0.4282162521665043</v>
      </c>
    </row>
    <row r="33" spans="1:19" ht="12.75" customHeight="1" thickBot="1">
      <c r="A33" s="13">
        <v>310</v>
      </c>
      <c r="B33" s="104">
        <v>310.2</v>
      </c>
      <c r="C33" s="104">
        <v>310.2</v>
      </c>
      <c r="D33" s="13">
        <f t="shared" si="6"/>
        <v>310.2</v>
      </c>
      <c r="E33" s="14">
        <v>310</v>
      </c>
      <c r="F33" s="20">
        <f t="shared" si="5"/>
        <v>0.19999999999998863</v>
      </c>
      <c r="G33" s="58">
        <f>($N$10*SIN(RADIANS(-80))+$N$12*SIN(RADIANS(-10)))+($N$14*SIN(RADIANS(20))+$N$4)-($N$6*SIN(RADIANS(50))+$N$8*SIN(RADIANS(-40)))</f>
        <v>1.0310362220078053</v>
      </c>
      <c r="H33" s="22">
        <f t="shared" si="7"/>
        <v>-0.8310362220078167</v>
      </c>
      <c r="I33" s="88" t="str">
        <f t="shared" si="2"/>
        <v>удовлетворительно</v>
      </c>
      <c r="J33" s="138">
        <f t="shared" si="3"/>
        <v>0.615518111003897</v>
      </c>
      <c r="S33" s="93">
        <f t="shared" si="4"/>
        <v>0.8310362220078167</v>
      </c>
    </row>
    <row r="34" spans="1:19" ht="12.75" customHeight="1" thickBot="1">
      <c r="A34" s="13">
        <v>320</v>
      </c>
      <c r="B34" s="104">
        <v>319.5</v>
      </c>
      <c r="C34" s="104">
        <v>319.5</v>
      </c>
      <c r="D34" s="13">
        <f t="shared" si="6"/>
        <v>319.5</v>
      </c>
      <c r="E34" s="14">
        <v>320</v>
      </c>
      <c r="F34" s="20">
        <f t="shared" si="5"/>
        <v>-0.5</v>
      </c>
      <c r="G34" s="58">
        <f>($N$10*SIN(RADIANS(-80))+$N$12*SIN(RADIANS(10)))+($N$14*SIN(RADIANS(-20))+$N$4)-($N$6*SIN(RADIANS(40))+$N$8*SIN(RADIANS(-50)))</f>
        <v>0.2095049740248333</v>
      </c>
      <c r="H34" s="22">
        <f t="shared" si="7"/>
        <v>-0.7095049740248334</v>
      </c>
      <c r="I34" s="88" t="str">
        <f t="shared" si="2"/>
        <v>хорошо</v>
      </c>
      <c r="J34" s="138">
        <f t="shared" si="3"/>
        <v>-0.14524751298758334</v>
      </c>
      <c r="S34" s="93">
        <f t="shared" si="4"/>
        <v>0.7095049740248334</v>
      </c>
    </row>
    <row r="35" spans="1:19" ht="12.75" customHeight="1" thickBot="1">
      <c r="A35" s="13">
        <v>330</v>
      </c>
      <c r="B35" s="104">
        <v>329</v>
      </c>
      <c r="C35" s="104">
        <v>329</v>
      </c>
      <c r="D35" s="13">
        <f>PRODUCT(0.5,SUM(B35,C35))</f>
        <v>329</v>
      </c>
      <c r="E35" s="14">
        <v>330</v>
      </c>
      <c r="F35" s="20">
        <f t="shared" si="5"/>
        <v>-1</v>
      </c>
      <c r="G35" s="58">
        <f>($N$10*SIN(RADIANS(-60))+$N$12*SIN(RADIANS(30)))+($N$14*SIN(RADIANS(-60))+$N$4)-($N$6*SIN(RADIANS(30))+$N$8*SIN(RADIANS(-60)))</f>
        <v>-0.6771233130171367</v>
      </c>
      <c r="H35" s="22">
        <f>F35-G35</f>
        <v>-0.3228766869828633</v>
      </c>
      <c r="I35" s="88" t="str">
        <f t="shared" si="2"/>
        <v>отлично</v>
      </c>
      <c r="J35" s="138">
        <f t="shared" si="3"/>
        <v>-0.8385616565085683</v>
      </c>
      <c r="S35" s="93">
        <f t="shared" si="4"/>
        <v>0.3228766869828633</v>
      </c>
    </row>
    <row r="36" spans="1:19" ht="12.75" customHeight="1" thickBot="1">
      <c r="A36" s="13">
        <v>340</v>
      </c>
      <c r="B36" s="104">
        <v>338.5</v>
      </c>
      <c r="C36" s="104">
        <v>338.5</v>
      </c>
      <c r="D36" s="13">
        <f>PRODUCT(0.5,SUM(B36,C36))</f>
        <v>338.5</v>
      </c>
      <c r="E36" s="14">
        <v>340</v>
      </c>
      <c r="F36" s="20">
        <f t="shared" si="5"/>
        <v>-1.5</v>
      </c>
      <c r="G36" s="58">
        <f>($N$10*SIN(RADIANS(-40))+$N$12*SIN(RADIANS(50)))+($N$14*SIN(RADIANS(-80))+$N$4)-($N$6*SIN(RADIANS(20))+$N$8*SIN(RADIANS(-70)))</f>
        <v>-1.4780177759221256</v>
      </c>
      <c r="H36" s="22">
        <f>F36-G36</f>
        <v>-0.021982224077874424</v>
      </c>
      <c r="I36" s="88" t="str">
        <f t="shared" si="2"/>
        <v>отлично</v>
      </c>
      <c r="J36" s="138">
        <f t="shared" si="3"/>
        <v>-1.4890088879610628</v>
      </c>
      <c r="S36" s="93">
        <f t="shared" si="4"/>
        <v>0.021982224077874424</v>
      </c>
    </row>
    <row r="37" spans="1:19" ht="12.75" customHeight="1" thickBot="1">
      <c r="A37" s="13">
        <v>350</v>
      </c>
      <c r="B37" s="104">
        <v>348.2</v>
      </c>
      <c r="C37" s="104">
        <v>348.2</v>
      </c>
      <c r="D37" s="13">
        <f>PRODUCT(0.5,SUM(B37,C37))</f>
        <v>348.2</v>
      </c>
      <c r="E37" s="14">
        <v>350</v>
      </c>
      <c r="F37" s="20">
        <f t="shared" si="5"/>
        <v>-1.8000000000000114</v>
      </c>
      <c r="G37" s="58">
        <f>($N$10*SIN(RADIANS(-20))+$N$12*SIN(RADIANS(70)))+($N$14*SIN(RADIANS(-40))+$N$4)-($N$6*SIN(RADIANS(10))+$N$8*SIN(RADIANS(-80)))</f>
        <v>-2.0941534565380846</v>
      </c>
      <c r="H37" s="22">
        <f>F37-G37</f>
        <v>0.29415345653807323</v>
      </c>
      <c r="I37" s="88" t="str">
        <f t="shared" si="2"/>
        <v>отлично</v>
      </c>
      <c r="J37" s="138">
        <f t="shared" si="3"/>
        <v>-1.947076728269048</v>
      </c>
      <c r="S37" s="93">
        <f t="shared" si="4"/>
        <v>0.29415345653807323</v>
      </c>
    </row>
    <row r="38" spans="1:19" ht="12.75" customHeight="1" thickBot="1">
      <c r="A38" s="17">
        <v>360</v>
      </c>
      <c r="B38" s="105">
        <f>B2</f>
        <v>358</v>
      </c>
      <c r="C38" s="105">
        <f>C2</f>
        <v>358</v>
      </c>
      <c r="D38" s="17">
        <f>PRODUCT(0.5,SUM(B38,C38))</f>
        <v>358</v>
      </c>
      <c r="E38" s="18">
        <v>360</v>
      </c>
      <c r="F38" s="142">
        <f>F2</f>
        <v>-2</v>
      </c>
      <c r="G38" s="56">
        <f>($N$10*SIN(RADIANS(0))+$N$12*SIN(RADIANS(90)))+($N$14*SIN(RADIANS(0))+$N$4)+($N$6*SIN(RADIANS(0))+$N$8*SIN(RADIANS(90)))</f>
        <v>-2.495736709832241</v>
      </c>
      <c r="H38" s="23">
        <f>F38-G38</f>
        <v>0.49573670983224094</v>
      </c>
      <c r="I38" s="90" t="str">
        <f t="shared" si="2"/>
        <v>отлично</v>
      </c>
      <c r="J38" s="140">
        <f t="shared" si="3"/>
        <v>-2.2478683549161205</v>
      </c>
      <c r="S38" s="93">
        <f t="shared" si="4"/>
        <v>0.49573670983224094</v>
      </c>
    </row>
    <row r="39" spans="1:10" ht="12.75" customHeight="1" thickBot="1">
      <c r="A39" s="232" t="s">
        <v>294</v>
      </c>
      <c r="B39" s="233"/>
      <c r="C39" s="233"/>
      <c r="D39" s="233"/>
      <c r="E39" s="233"/>
      <c r="F39" s="233"/>
      <c r="G39" s="233"/>
      <c r="H39" s="234"/>
      <c r="I39" s="230" t="str">
        <f>IF(ABS(T10)&gt;1,"неудовлетворительно",IF(ABS(T10)&gt;0.8,"удовлетворительно",IF(ABS(T10)&gt;0.5,"хорошо",IF(ABS(T10)&lt;=0.5,"отлично"))))</f>
        <v>удовлетворительно</v>
      </c>
      <c r="J39" s="231"/>
    </row>
  </sheetData>
  <sheetProtection password="C70D" sheet="1" objects="1" scenarios="1"/>
  <mergeCells count="6">
    <mergeCell ref="I39:J39"/>
    <mergeCell ref="A39:H39"/>
    <mergeCell ref="K1:Q2"/>
    <mergeCell ref="U10:V10"/>
    <mergeCell ref="O10:Q10"/>
    <mergeCell ref="O4:Q4"/>
  </mergeCells>
  <conditionalFormatting sqref="I40:I65536 I1:I38">
    <cfRule type="cellIs" priority="1" dxfId="0" operator="equal" stopIfTrue="1">
      <formula>"отлично"</formula>
    </cfRule>
    <cfRule type="cellIs" priority="2" dxfId="1" operator="equal" stopIfTrue="1">
      <formula>"хорошо"</formula>
    </cfRule>
    <cfRule type="cellIs" priority="3" dxfId="2" operator="equal" stopIfTrue="1">
      <formula>"удовлетворительно"</formula>
    </cfRule>
  </conditionalFormatting>
  <printOptions/>
  <pageMargins left="0.52" right="0.23" top="1.32" bottom="1" header="0.5" footer="0.5"/>
  <pageSetup horizontalDpi="120" verticalDpi="120" orientation="landscape" pageOrder="overThenDown" paperSize="9" scale="85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R37"/>
  <sheetViews>
    <sheetView zoomScale="65" zoomScaleNormal="65" workbookViewId="0" topLeftCell="B1">
      <selection activeCell="R8" sqref="R8"/>
    </sheetView>
  </sheetViews>
  <sheetFormatPr defaultColWidth="9.00390625" defaultRowHeight="12.75"/>
  <sheetData>
    <row r="12" ht="12.75">
      <c r="Q12" s="81"/>
    </row>
    <row r="15" ht="12.75">
      <c r="R15" s="80"/>
    </row>
    <row r="34" ht="13.5" thickBot="1"/>
    <row r="35" spans="2:17" ht="13.5" thickBot="1">
      <c r="B35" s="77" t="s">
        <v>26</v>
      </c>
      <c r="C35" s="251" t="s">
        <v>30</v>
      </c>
      <c r="D35" s="252"/>
      <c r="E35" s="252"/>
      <c r="F35" s="252"/>
      <c r="G35" s="252"/>
      <c r="H35" s="253"/>
      <c r="J35" s="248" t="s">
        <v>28</v>
      </c>
      <c r="K35" s="249"/>
      <c r="L35" s="249"/>
      <c r="M35" s="249"/>
      <c r="N35" s="249"/>
      <c r="O35" s="249"/>
      <c r="P35" s="249"/>
      <c r="Q35" s="250"/>
    </row>
    <row r="36" spans="2:17" ht="12.75">
      <c r="B36" s="79" t="s">
        <v>26</v>
      </c>
      <c r="C36" s="254" t="s">
        <v>27</v>
      </c>
      <c r="D36" s="255"/>
      <c r="E36" s="255"/>
      <c r="F36" s="255"/>
      <c r="G36" s="255"/>
      <c r="H36" s="256"/>
      <c r="J36" s="243" t="s">
        <v>29</v>
      </c>
      <c r="K36" s="196"/>
      <c r="L36" s="196"/>
      <c r="M36" s="196"/>
      <c r="N36" s="196"/>
      <c r="O36" s="196"/>
      <c r="P36" s="196"/>
      <c r="Q36" s="244"/>
    </row>
    <row r="37" spans="2:17" ht="13.5" thickBot="1">
      <c r="B37" s="78" t="s">
        <v>26</v>
      </c>
      <c r="C37" s="257" t="s">
        <v>292</v>
      </c>
      <c r="D37" s="258"/>
      <c r="E37" s="258"/>
      <c r="F37" s="258"/>
      <c r="G37" s="258"/>
      <c r="H37" s="259"/>
      <c r="J37" s="245" t="s">
        <v>293</v>
      </c>
      <c r="K37" s="246"/>
      <c r="L37" s="246"/>
      <c r="M37" s="246"/>
      <c r="N37" s="246"/>
      <c r="O37" s="246"/>
      <c r="P37" s="246"/>
      <c r="Q37" s="247"/>
    </row>
  </sheetData>
  <sheetProtection password="C70D" sheet="1" objects="1" scenarios="1"/>
  <mergeCells count="6">
    <mergeCell ref="J36:Q36"/>
    <mergeCell ref="J37:Q37"/>
    <mergeCell ref="J35:Q35"/>
    <mergeCell ref="C35:H35"/>
    <mergeCell ref="C36:H36"/>
    <mergeCell ref="C37:H37"/>
  </mergeCells>
  <printOptions/>
  <pageMargins left="0.33" right="0.22" top="0.7" bottom="0.73" header="0.5118110236220472" footer="0.5118110236220472"/>
  <pageSetup horizontalDpi="120" verticalDpi="120" orientation="landscape" pageOrder="overThenDown" paperSize="9" scale="93" r:id="rId4"/>
  <headerFooter alignWithMargins="0">
    <oddHeader>&amp;C&amp;A</oddHeader>
  </headerFooter>
  <drawing r:id="rId3"/>
  <legacyDrawing r:id="rId2"/>
  <oleObjects>
    <oleObject progId="MS_ClipArt_Gallery" shapeId="9173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AC42"/>
  <sheetViews>
    <sheetView showGridLines="0" zoomScale="75" zoomScaleNormal="75" workbookViewId="0" topLeftCell="A1">
      <selection activeCell="AA9" sqref="AA9"/>
    </sheetView>
  </sheetViews>
  <sheetFormatPr defaultColWidth="9.00390625" defaultRowHeight="12.75"/>
  <cols>
    <col min="1" max="1" width="1.00390625" style="45" customWidth="1"/>
    <col min="2" max="2" width="4.25390625" style="45" customWidth="1"/>
    <col min="3" max="3" width="5.375" style="45" customWidth="1"/>
    <col min="4" max="4" width="6.375" style="45" customWidth="1"/>
    <col min="5" max="24" width="5.375" style="45" customWidth="1"/>
    <col min="25" max="16384" width="5.00390625" style="45" customWidth="1"/>
  </cols>
  <sheetData>
    <row r="3" spans="3:13" ht="14.25" customHeight="1">
      <c r="C3" s="281" t="s">
        <v>1</v>
      </c>
      <c r="D3" s="281" t="s">
        <v>0</v>
      </c>
      <c r="E3" s="281" t="s">
        <v>37</v>
      </c>
      <c r="I3" s="281" t="s">
        <v>10</v>
      </c>
      <c r="J3" s="281"/>
      <c r="L3" s="281" t="s">
        <v>9</v>
      </c>
      <c r="M3" s="281"/>
    </row>
    <row r="4" spans="3:13" s="47" customFormat="1" ht="12.75" customHeight="1" thickBot="1">
      <c r="C4" s="282"/>
      <c r="D4" s="282"/>
      <c r="E4" s="282"/>
      <c r="F4" s="46" t="s">
        <v>2</v>
      </c>
      <c r="G4" s="45"/>
      <c r="I4" s="282"/>
      <c r="J4" s="282"/>
      <c r="L4" s="282"/>
      <c r="M4" s="282"/>
    </row>
    <row r="5" spans="3:24" s="47" customFormat="1" ht="12.75" customHeight="1">
      <c r="C5" s="24"/>
      <c r="D5" s="25">
        <f>Уничтожение!B10</f>
        <v>358.4</v>
      </c>
      <c r="E5" s="26"/>
      <c r="F5" s="27"/>
      <c r="G5" s="45"/>
      <c r="I5" s="24" t="s">
        <v>3</v>
      </c>
      <c r="J5" s="27">
        <f>Уничтожение!S8</f>
        <v>-1.4000000000000092</v>
      </c>
      <c r="K5" s="29" t="str">
        <f>Уничтожение!T8</f>
        <v>хор</v>
      </c>
      <c r="L5" s="24" t="s">
        <v>3</v>
      </c>
      <c r="M5" s="28">
        <f>Остаточная!N4</f>
        <v>-0.5222222222222178</v>
      </c>
      <c r="N5" s="89" t="str">
        <f>Остаточная!O4</f>
        <v>отлично</v>
      </c>
      <c r="P5" s="262" t="s">
        <v>59</v>
      </c>
      <c r="Q5" s="263"/>
      <c r="R5" s="263"/>
      <c r="S5" s="263"/>
      <c r="T5" s="263"/>
      <c r="U5" s="263"/>
      <c r="V5" s="263"/>
      <c r="W5" s="263"/>
      <c r="X5" s="264"/>
    </row>
    <row r="6" spans="3:24" s="47" customFormat="1" ht="12.75" customHeight="1">
      <c r="C6" s="30">
        <v>0</v>
      </c>
      <c r="D6" s="31">
        <f>Уничтожение!B11</f>
        <v>358.4</v>
      </c>
      <c r="E6" s="32">
        <f>C6</f>
        <v>0</v>
      </c>
      <c r="F6" s="48">
        <f>Уничтожение!D11</f>
        <v>-1.6000000000000227</v>
      </c>
      <c r="G6" s="45"/>
      <c r="I6" s="30"/>
      <c r="J6" s="34"/>
      <c r="K6" s="46"/>
      <c r="L6" s="30"/>
      <c r="M6" s="33"/>
      <c r="N6" s="46"/>
      <c r="P6" s="265" t="s">
        <v>60</v>
      </c>
      <c r="Q6" s="266"/>
      <c r="R6" s="266"/>
      <c r="S6" s="266"/>
      <c r="T6" s="266"/>
      <c r="U6" s="266"/>
      <c r="V6" s="266"/>
      <c r="W6" s="266"/>
      <c r="X6" s="267"/>
    </row>
    <row r="7" spans="3:24" s="47" customFormat="1" ht="12.75" customHeight="1" thickBot="1">
      <c r="C7" s="35"/>
      <c r="D7" s="36">
        <f>Уничтожение!B12</f>
        <v>-1.6000000000000227</v>
      </c>
      <c r="E7" s="37"/>
      <c r="F7" s="38"/>
      <c r="G7" s="45"/>
      <c r="I7" s="30" t="s">
        <v>4</v>
      </c>
      <c r="J7" s="34">
        <f>Уничтожение!S10</f>
        <v>-0.20000000000000284</v>
      </c>
      <c r="K7" s="46"/>
      <c r="L7" s="30" t="s">
        <v>4</v>
      </c>
      <c r="M7" s="33">
        <f>Остаточная!N6</f>
        <v>-0.44067538242879395</v>
      </c>
      <c r="N7" s="46"/>
      <c r="P7" s="265" t="s">
        <v>61</v>
      </c>
      <c r="Q7" s="266"/>
      <c r="R7" s="266"/>
      <c r="S7" s="266"/>
      <c r="T7" s="266"/>
      <c r="U7" s="266"/>
      <c r="V7" s="266"/>
      <c r="W7" s="266"/>
      <c r="X7" s="267"/>
    </row>
    <row r="8" spans="3:24" s="47" customFormat="1" ht="12.75" customHeight="1">
      <c r="C8" s="24"/>
      <c r="D8" s="25">
        <f>Уничтожение!B13</f>
        <v>41.6</v>
      </c>
      <c r="E8" s="26"/>
      <c r="F8" s="27"/>
      <c r="G8" s="45"/>
      <c r="I8" s="30"/>
      <c r="J8" s="34"/>
      <c r="K8" s="46"/>
      <c r="L8" s="30"/>
      <c r="M8" s="33"/>
      <c r="N8" s="46"/>
      <c r="P8" s="265" t="s">
        <v>62</v>
      </c>
      <c r="Q8" s="266"/>
      <c r="R8" s="266"/>
      <c r="S8" s="266"/>
      <c r="T8" s="266"/>
      <c r="U8" s="266"/>
      <c r="V8" s="266"/>
      <c r="W8" s="266"/>
      <c r="X8" s="267"/>
    </row>
    <row r="9" spans="3:24" s="47" customFormat="1" ht="12.75" customHeight="1">
      <c r="C9" s="30">
        <v>45</v>
      </c>
      <c r="D9" s="31">
        <f>Уничтожение!B14</f>
        <v>41.6</v>
      </c>
      <c r="E9" s="32">
        <f>C9</f>
        <v>45</v>
      </c>
      <c r="F9" s="48">
        <f>Уничтожение!D14</f>
        <v>-3.3999999999999986</v>
      </c>
      <c r="G9" s="45"/>
      <c r="I9" s="30" t="s">
        <v>5</v>
      </c>
      <c r="J9" s="39">
        <f>Уничтожение!S12</f>
        <v>-1.4000000000000057</v>
      </c>
      <c r="K9" s="46"/>
      <c r="L9" s="30" t="s">
        <v>5</v>
      </c>
      <c r="M9" s="33">
        <f>Остаточная!N8</f>
        <v>-0.5495909214278124</v>
      </c>
      <c r="N9" s="46"/>
      <c r="P9" s="265" t="s">
        <v>63</v>
      </c>
      <c r="Q9" s="266"/>
      <c r="R9" s="266"/>
      <c r="S9" s="266"/>
      <c r="T9" s="266"/>
      <c r="U9" s="266"/>
      <c r="V9" s="266"/>
      <c r="W9" s="266"/>
      <c r="X9" s="267"/>
    </row>
    <row r="10" spans="3:24" s="47" customFormat="1" ht="12.75" customHeight="1" thickBot="1">
      <c r="C10" s="35"/>
      <c r="D10" s="36">
        <f>Уничтожение!B15</f>
        <v>41.6</v>
      </c>
      <c r="E10" s="37"/>
      <c r="F10" s="38"/>
      <c r="G10" s="45"/>
      <c r="I10" s="30"/>
      <c r="J10" s="34"/>
      <c r="K10" s="46"/>
      <c r="L10" s="30"/>
      <c r="M10" s="33"/>
      <c r="N10" s="46"/>
      <c r="P10" s="265" t="s">
        <v>64</v>
      </c>
      <c r="Q10" s="266"/>
      <c r="R10" s="266"/>
      <c r="S10" s="266"/>
      <c r="T10" s="266"/>
      <c r="U10" s="266"/>
      <c r="V10" s="266"/>
      <c r="W10" s="266"/>
      <c r="X10" s="267"/>
    </row>
    <row r="11" spans="3:24" s="47" customFormat="1" ht="12.75" customHeight="1">
      <c r="C11" s="24"/>
      <c r="D11" s="25">
        <f>Уничтожение!B16</f>
        <v>87.3</v>
      </c>
      <c r="E11" s="26"/>
      <c r="F11" s="27"/>
      <c r="G11" s="45"/>
      <c r="I11" s="30" t="s">
        <v>6</v>
      </c>
      <c r="J11" s="33">
        <f>Уничтожение!S14</f>
        <v>-2.7999999999999936</v>
      </c>
      <c r="K11" s="29" t="str">
        <f>Уничтожение!T14</f>
        <v>неуд</v>
      </c>
      <c r="L11" s="30" t="s">
        <v>6</v>
      </c>
      <c r="M11" s="33">
        <f>Остаточная!N10</f>
        <v>-1.2380230229753548</v>
      </c>
      <c r="N11" s="89" t="str">
        <f>Остаточная!O10</f>
        <v>хорошо</v>
      </c>
      <c r="P11" s="265" t="s">
        <v>65</v>
      </c>
      <c r="Q11" s="266"/>
      <c r="R11" s="266"/>
      <c r="S11" s="266"/>
      <c r="T11" s="266"/>
      <c r="U11" s="266"/>
      <c r="V11" s="266"/>
      <c r="W11" s="266"/>
      <c r="X11" s="267"/>
    </row>
    <row r="12" spans="3:28" s="47" customFormat="1" ht="12.75" customHeight="1">
      <c r="C12" s="30">
        <v>90</v>
      </c>
      <c r="D12" s="31">
        <f>Уничтожение!B17</f>
        <v>87.3</v>
      </c>
      <c r="E12" s="32">
        <f>C12</f>
        <v>90</v>
      </c>
      <c r="F12" s="48">
        <f>Уничтожение!D17</f>
        <v>-2.700000000000003</v>
      </c>
      <c r="G12" s="45"/>
      <c r="I12" s="30"/>
      <c r="J12" s="34"/>
      <c r="K12" s="46"/>
      <c r="L12" s="30"/>
      <c r="M12" s="33"/>
      <c r="N12" s="46"/>
      <c r="P12" s="265" t="s">
        <v>66</v>
      </c>
      <c r="Q12" s="266"/>
      <c r="R12" s="266"/>
      <c r="S12" s="266"/>
      <c r="T12" s="266"/>
      <c r="U12" s="266"/>
      <c r="V12" s="266"/>
      <c r="W12" s="266"/>
      <c r="X12" s="267"/>
      <c r="AB12" s="46"/>
    </row>
    <row r="13" spans="3:24" s="47" customFormat="1" ht="12.75" customHeight="1" thickBot="1">
      <c r="C13" s="35"/>
      <c r="D13" s="36">
        <f>Уничтожение!B18</f>
        <v>87.3</v>
      </c>
      <c r="E13" s="37"/>
      <c r="F13" s="38"/>
      <c r="G13" s="45"/>
      <c r="I13" s="30" t="s">
        <v>7</v>
      </c>
      <c r="J13" s="39">
        <f>Уничтожение!S16</f>
        <v>0.54999999999999</v>
      </c>
      <c r="K13" s="46"/>
      <c r="L13" s="30" t="s">
        <v>7</v>
      </c>
      <c r="M13" s="33">
        <f>Остаточная!N14</f>
        <v>0.299617870913723</v>
      </c>
      <c r="N13" s="46"/>
      <c r="P13" s="265" t="s">
        <v>67</v>
      </c>
      <c r="Q13" s="266"/>
      <c r="R13" s="266"/>
      <c r="S13" s="266"/>
      <c r="T13" s="266"/>
      <c r="U13" s="266"/>
      <c r="V13" s="266"/>
      <c r="W13" s="266"/>
      <c r="X13" s="267"/>
    </row>
    <row r="14" spans="3:24" s="47" customFormat="1" ht="12.75" customHeight="1" thickBot="1">
      <c r="C14" s="24"/>
      <c r="D14" s="25">
        <f>Уничтожение!B19</f>
        <v>137.2</v>
      </c>
      <c r="E14" s="26"/>
      <c r="F14" s="27"/>
      <c r="G14" s="45"/>
      <c r="I14" s="35"/>
      <c r="J14" s="38"/>
      <c r="K14" s="46"/>
      <c r="L14" s="35"/>
      <c r="M14" s="38"/>
      <c r="N14" s="46"/>
      <c r="P14" s="268"/>
      <c r="Q14" s="269"/>
      <c r="R14" s="269"/>
      <c r="S14" s="269"/>
      <c r="T14" s="269"/>
      <c r="U14" s="269"/>
      <c r="V14" s="269"/>
      <c r="W14" s="269"/>
      <c r="X14" s="270"/>
    </row>
    <row r="15" spans="3:7" s="47" customFormat="1" ht="12.75" customHeight="1">
      <c r="C15" s="30">
        <v>135</v>
      </c>
      <c r="D15" s="31">
        <f>Уничтожение!B20</f>
        <v>137.2</v>
      </c>
      <c r="E15" s="32">
        <f>C15</f>
        <v>135</v>
      </c>
      <c r="F15" s="48">
        <f>Уничтожение!D20</f>
        <v>2.1999999999999886</v>
      </c>
      <c r="G15" s="45"/>
    </row>
    <row r="16" spans="3:7" s="47" customFormat="1" ht="12.75" customHeight="1" thickBot="1">
      <c r="C16" s="35"/>
      <c r="D16" s="36">
        <f>Уничтожение!B21</f>
        <v>137.2</v>
      </c>
      <c r="E16" s="37"/>
      <c r="F16" s="38"/>
      <c r="G16" s="45"/>
    </row>
    <row r="17" spans="3:7" s="47" customFormat="1" ht="12.75" customHeight="1">
      <c r="C17" s="24"/>
      <c r="D17" s="25">
        <f>Уничтожение!B22</f>
        <v>181.2</v>
      </c>
      <c r="E17" s="26"/>
      <c r="F17" s="27"/>
      <c r="G17" s="45"/>
    </row>
    <row r="18" spans="3:7" s="47" customFormat="1" ht="12.75" customHeight="1">
      <c r="C18" s="30">
        <v>180</v>
      </c>
      <c r="D18" s="31">
        <f>Уничтожение!B23</f>
        <v>181.2</v>
      </c>
      <c r="E18" s="32">
        <f>C18</f>
        <v>180</v>
      </c>
      <c r="F18" s="48">
        <f>Уничтожение!D23</f>
        <v>1.1999999999999886</v>
      </c>
      <c r="G18" s="45"/>
    </row>
    <row r="19" spans="3:7" s="47" customFormat="1" ht="12.75" customHeight="1" thickBot="1">
      <c r="C19" s="35"/>
      <c r="D19" s="36">
        <f>Уничтожение!B24</f>
        <v>181.2</v>
      </c>
      <c r="E19" s="37"/>
      <c r="F19" s="38"/>
      <c r="G19" s="45"/>
    </row>
    <row r="20" spans="3:7" s="47" customFormat="1" ht="12.75" customHeight="1">
      <c r="C20" s="24"/>
      <c r="D20" s="25">
        <f>Уничтожение!B25</f>
        <v>225</v>
      </c>
      <c r="E20" s="26"/>
      <c r="F20" s="27"/>
      <c r="G20" s="45"/>
    </row>
    <row r="21" spans="3:7" s="47" customFormat="1" ht="12.75" customHeight="1">
      <c r="C21" s="30">
        <v>225</v>
      </c>
      <c r="D21" s="31">
        <f>Уничтожение!B26</f>
        <v>225</v>
      </c>
      <c r="E21" s="32">
        <f>C21</f>
        <v>225</v>
      </c>
      <c r="F21" s="48">
        <f>Уничтожение!D26</f>
        <v>0</v>
      </c>
      <c r="G21" s="45"/>
    </row>
    <row r="22" spans="3:7" s="47" customFormat="1" ht="12.75" customHeight="1" thickBot="1">
      <c r="C22" s="35"/>
      <c r="D22" s="36">
        <f>Уничтожение!B27</f>
        <v>225</v>
      </c>
      <c r="E22" s="37"/>
      <c r="F22" s="38"/>
      <c r="G22" s="45"/>
    </row>
    <row r="23" spans="3:7" s="47" customFormat="1" ht="12.75" customHeight="1">
      <c r="C23" s="24"/>
      <c r="D23" s="25">
        <f>Уничтожение!B28</f>
        <v>267.5</v>
      </c>
      <c r="E23" s="26"/>
      <c r="F23" s="27"/>
      <c r="G23" s="45"/>
    </row>
    <row r="24" spans="3:7" s="47" customFormat="1" ht="12.75" customHeight="1">
      <c r="C24" s="30">
        <v>270</v>
      </c>
      <c r="D24" s="31">
        <f>Уничтожение!B29</f>
        <v>267.5</v>
      </c>
      <c r="E24" s="32">
        <f>C24</f>
        <v>270</v>
      </c>
      <c r="F24" s="48">
        <f>Уничтожение!D29</f>
        <v>-2.5</v>
      </c>
      <c r="G24" s="45"/>
    </row>
    <row r="25" spans="3:7" s="47" customFormat="1" ht="12.75" customHeight="1" thickBot="1">
      <c r="C25" s="35"/>
      <c r="D25" s="36">
        <f>Уничтожение!B30</f>
        <v>267.5</v>
      </c>
      <c r="E25" s="37"/>
      <c r="F25" s="38"/>
      <c r="G25" s="45"/>
    </row>
    <row r="26" spans="3:7" s="47" customFormat="1" ht="12.75" customHeight="1">
      <c r="C26" s="24"/>
      <c r="D26" s="25">
        <f>Уничтожение!B31</f>
        <v>315</v>
      </c>
      <c r="E26" s="26"/>
      <c r="F26" s="27"/>
      <c r="G26" s="45"/>
    </row>
    <row r="27" spans="3:7" s="47" customFormat="1" ht="12.75" customHeight="1">
      <c r="C27" s="30">
        <v>315</v>
      </c>
      <c r="D27" s="31">
        <f>Уничтожение!B32</f>
        <v>315</v>
      </c>
      <c r="E27" s="32">
        <f>C27</f>
        <v>315</v>
      </c>
      <c r="F27" s="48">
        <f>Уничтожение!D32</f>
        <v>0</v>
      </c>
      <c r="G27" s="45"/>
    </row>
    <row r="28" spans="3:7" s="47" customFormat="1" ht="12.75" customHeight="1" thickBot="1">
      <c r="C28" s="35"/>
      <c r="D28" s="36">
        <f>Уничтожение!B33</f>
        <v>315</v>
      </c>
      <c r="E28" s="37"/>
      <c r="F28" s="38"/>
      <c r="G28" s="45"/>
    </row>
    <row r="29" spans="2:7" s="47" customFormat="1" ht="12.75" customHeight="1">
      <c r="B29" s="46"/>
      <c r="C29" s="46"/>
      <c r="D29" s="40"/>
      <c r="E29" s="41"/>
      <c r="F29" s="40"/>
      <c r="G29" s="40"/>
    </row>
    <row r="30" spans="2:29" s="47" customFormat="1" ht="9" customHeight="1">
      <c r="B30" s="46"/>
      <c r="V30" s="92" t="str">
        <f>Остаточная!U10</f>
        <v>удовлетворительно</v>
      </c>
      <c r="W30" s="91" t="str">
        <f>Остаточная!O4</f>
        <v>отлично</v>
      </c>
      <c r="X30" s="91" t="str">
        <f>Остаточная!O10</f>
        <v>хорошо</v>
      </c>
      <c r="Y30" s="260" t="str">
        <f>IF(V30="неудовлетворительно",V30,IF(W30="неудовлетворительно",W30,IF(X30="неудовлетворительно",X30,IF(V30="удовлетворительно",V30,IF(W30="удовлетворительно",W30,IF(X30="удовлетворительно",X30,IF(V30="хорошо",V30,IF(W30="хорошо",W30))))))))</f>
        <v>удовлетворительно</v>
      </c>
      <c r="Z30" s="260"/>
      <c r="AA30" s="260"/>
      <c r="AB30" s="260"/>
      <c r="AC30" s="260"/>
    </row>
    <row r="31" spans="2:29" s="47" customFormat="1" ht="9" customHeight="1" thickBot="1">
      <c r="B31" s="46"/>
      <c r="Y31" s="260"/>
      <c r="Z31" s="260"/>
      <c r="AA31" s="260"/>
      <c r="AB31" s="260"/>
      <c r="AC31" s="260"/>
    </row>
    <row r="32" spans="3:23" s="46" customFormat="1" ht="13.5" customHeight="1" thickBot="1">
      <c r="C32" s="283" t="s">
        <v>1</v>
      </c>
      <c r="D32" s="284"/>
      <c r="E32" s="42">
        <v>0</v>
      </c>
      <c r="F32" s="43">
        <v>10</v>
      </c>
      <c r="G32" s="43">
        <v>20</v>
      </c>
      <c r="H32" s="43">
        <v>30</v>
      </c>
      <c r="I32" s="43">
        <v>40</v>
      </c>
      <c r="J32" s="43">
        <v>50</v>
      </c>
      <c r="K32" s="43">
        <v>60</v>
      </c>
      <c r="L32" s="43">
        <v>70</v>
      </c>
      <c r="M32" s="43">
        <v>80</v>
      </c>
      <c r="N32" s="43">
        <v>90</v>
      </c>
      <c r="O32" s="43">
        <v>100</v>
      </c>
      <c r="P32" s="43">
        <v>110</v>
      </c>
      <c r="Q32" s="43">
        <v>120</v>
      </c>
      <c r="R32" s="43">
        <v>130</v>
      </c>
      <c r="S32" s="43">
        <v>140</v>
      </c>
      <c r="T32" s="43">
        <v>150</v>
      </c>
      <c r="U32" s="43">
        <v>160</v>
      </c>
      <c r="V32" s="43">
        <v>170</v>
      </c>
      <c r="W32" s="44">
        <v>180</v>
      </c>
    </row>
    <row r="33" spans="2:24" s="46" customFormat="1" ht="13.5" customHeight="1" thickBot="1">
      <c r="B33" s="47"/>
      <c r="C33" s="283" t="s">
        <v>23</v>
      </c>
      <c r="D33" s="284"/>
      <c r="E33" s="50">
        <f>Остаточная!J2</f>
        <v>-2.2478683549161205</v>
      </c>
      <c r="F33" s="50">
        <f>Остаточная!J3</f>
        <v>-2.5044373620649862</v>
      </c>
      <c r="G33" s="50">
        <f>Остаточная!J4</f>
        <v>-2.69044860287784</v>
      </c>
      <c r="H33" s="50">
        <f>Остаточная!J5</f>
        <v>-2.671582048450538</v>
      </c>
      <c r="I33" s="50">
        <f>Остаточная!J6</f>
        <v>-2.5452475129875864</v>
      </c>
      <c r="J33" s="50">
        <f>Остаточная!J7</f>
        <v>-2.2437488355115907</v>
      </c>
      <c r="K33" s="50">
        <f>Остаточная!J8</f>
        <v>-1.7991640259282637</v>
      </c>
      <c r="L33" s="50">
        <f>Остаточная!J9</f>
        <v>-1.212177959780912</v>
      </c>
      <c r="M33" s="50">
        <f>Остаточная!J10</f>
        <v>-0.5648036082429361</v>
      </c>
      <c r="N33" s="50">
        <f>Остаточная!J11</f>
        <v>0.23051298076559937</v>
      </c>
      <c r="O33" s="50">
        <f>Остаточная!J12</f>
        <v>0.9966513205478047</v>
      </c>
      <c r="P33" s="50">
        <f>Остаточная!J13</f>
        <v>1.5166450678283876</v>
      </c>
      <c r="Q33" s="50">
        <f>Остаточная!J14</f>
        <v>1.5572675107913958</v>
      </c>
      <c r="R33" s="50">
        <f>Остаточная!J15</f>
        <v>1.2312114177650035</v>
      </c>
      <c r="S33" s="50">
        <f>Остаточная!J16</f>
        <v>0.6425028826417308</v>
      </c>
      <c r="T33" s="50">
        <f>Остаточная!J17</f>
        <v>0.01706035192281191</v>
      </c>
      <c r="U33" s="50">
        <f>Остаточная!J18</f>
        <v>-0.6232822121028094</v>
      </c>
      <c r="V33" s="50">
        <f>Остаточная!J19</f>
        <v>-1.0823578049632472</v>
      </c>
      <c r="W33" s="50">
        <f>Остаточная!J20</f>
        <v>-1.448277433488308</v>
      </c>
      <c r="X33" s="95"/>
    </row>
    <row r="34" spans="2:23" s="46" customFormat="1" ht="13.5" customHeight="1" thickBot="1">
      <c r="B34" s="47"/>
      <c r="C34" s="283" t="s">
        <v>1</v>
      </c>
      <c r="D34" s="284"/>
      <c r="E34" s="42">
        <v>180</v>
      </c>
      <c r="F34" s="43">
        <v>190</v>
      </c>
      <c r="G34" s="43">
        <v>200</v>
      </c>
      <c r="H34" s="43">
        <v>210</v>
      </c>
      <c r="I34" s="43">
        <v>220</v>
      </c>
      <c r="J34" s="43">
        <v>230</v>
      </c>
      <c r="K34" s="43">
        <v>240</v>
      </c>
      <c r="L34" s="43">
        <v>250</v>
      </c>
      <c r="M34" s="43">
        <v>260</v>
      </c>
      <c r="N34" s="43">
        <v>270</v>
      </c>
      <c r="O34" s="43">
        <v>280</v>
      </c>
      <c r="P34" s="43">
        <v>290</v>
      </c>
      <c r="Q34" s="43">
        <v>300</v>
      </c>
      <c r="R34" s="43">
        <v>310</v>
      </c>
      <c r="S34" s="43">
        <v>320</v>
      </c>
      <c r="T34" s="43">
        <v>330</v>
      </c>
      <c r="U34" s="43">
        <v>340</v>
      </c>
      <c r="V34" s="43">
        <v>350</v>
      </c>
      <c r="W34" s="44">
        <v>360</v>
      </c>
    </row>
    <row r="35" spans="2:23" s="46" customFormat="1" ht="13.5" customHeight="1" thickBot="1">
      <c r="B35" s="47"/>
      <c r="C35" s="283" t="s">
        <v>23</v>
      </c>
      <c r="D35" s="284"/>
      <c r="E35" s="50">
        <f>W33</f>
        <v>-1.448277433488308</v>
      </c>
      <c r="F35" s="49">
        <f>Остаточная!J21</f>
        <v>-1.5866734845563102</v>
      </c>
      <c r="G35" s="49">
        <f>Остаточная!J22</f>
        <v>-1.723282212102806</v>
      </c>
      <c r="H35" s="49">
        <f>Остаточная!J23</f>
        <v>-1.4752846575903549</v>
      </c>
      <c r="I35" s="49">
        <f>Остаточная!J24</f>
        <v>-1.2409757659200717</v>
      </c>
      <c r="J35" s="49">
        <f>Остаточная!J25</f>
        <v>-0.8529016728926805</v>
      </c>
      <c r="K35" s="49">
        <f>Остаточная!J26</f>
        <v>-0.34273248920859534</v>
      </c>
      <c r="L35" s="49">
        <f>Остаточная!J27</f>
        <v>0.2898926109666592</v>
      </c>
      <c r="M35" s="49">
        <f>Остаточная!J28</f>
        <v>1.014612386902793</v>
      </c>
      <c r="N35" s="49">
        <f>Остаточная!J29</f>
        <v>1.621188363194382</v>
      </c>
      <c r="O35" s="49">
        <f>Остаточная!J30</f>
        <v>1.9351963917570805</v>
      </c>
      <c r="P35" s="49">
        <f>Остаточная!J31</f>
        <v>1.8927733071414983</v>
      </c>
      <c r="Q35" s="49">
        <f>Остаточная!J32</f>
        <v>1.4141081260832409</v>
      </c>
      <c r="R35" s="49">
        <f>Остаточная!J33</f>
        <v>0.615518111003897</v>
      </c>
      <c r="S35" s="49">
        <f>Остаточная!J34</f>
        <v>-0.14524751298758334</v>
      </c>
      <c r="T35" s="49">
        <f>Остаточная!J35</f>
        <v>-0.8385616565085683</v>
      </c>
      <c r="U35" s="49">
        <f>Остаточная!J36</f>
        <v>-1.4890088879610628</v>
      </c>
      <c r="V35" s="49">
        <f>Остаточная!J37</f>
        <v>-1.947076728269048</v>
      </c>
      <c r="W35" s="51">
        <f>Остаточная!J38</f>
        <v>-2.2478683549161205</v>
      </c>
    </row>
    <row r="36" spans="3:27" ht="9" customHeight="1">
      <c r="C36" s="272" t="s">
        <v>71</v>
      </c>
      <c r="D36" s="272"/>
      <c r="E36" s="272"/>
      <c r="F36" s="272" t="s">
        <v>24</v>
      </c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Y36" s="286"/>
      <c r="Z36" s="286"/>
      <c r="AA36" s="286"/>
    </row>
    <row r="37" spans="3:27" ht="9" customHeight="1">
      <c r="C37" s="273"/>
      <c r="D37" s="273"/>
      <c r="E37" s="273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Y37" s="286"/>
      <c r="Z37" s="286"/>
      <c r="AA37" s="286"/>
    </row>
    <row r="38" ht="9" customHeight="1"/>
    <row r="39" spans="3:29" ht="9" customHeight="1">
      <c r="C39" s="276" t="s">
        <v>25</v>
      </c>
      <c r="D39" s="276"/>
      <c r="E39" s="276"/>
      <c r="F39" s="276"/>
      <c r="G39" s="280" t="s">
        <v>53</v>
      </c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5" t="str">
        <f>IF(Y30="неудовлетворительно",Y30,IF(Y30="удовлетворительно",Y30,IF(Y30="хорошо",Y30,IF(X30="хорошо",X30,IF(V30="отлично",V30,IF(W30="отлично",W30,IF(X30="отлично",X30,IF(Y30="отлично",Y30))))))))</f>
        <v>удовлетворительно</v>
      </c>
      <c r="U39" s="285"/>
      <c r="V39" s="285"/>
      <c r="W39" s="285"/>
      <c r="X39" s="285"/>
      <c r="Y39" s="285"/>
      <c r="Z39" s="285"/>
      <c r="AA39" s="285"/>
      <c r="AB39" s="285"/>
      <c r="AC39" s="261"/>
    </row>
    <row r="40" spans="3:29" ht="9" customHeight="1">
      <c r="C40" s="276"/>
      <c r="D40" s="276"/>
      <c r="E40" s="276"/>
      <c r="F40" s="276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5"/>
      <c r="U40" s="285"/>
      <c r="V40" s="285"/>
      <c r="W40" s="285"/>
      <c r="X40" s="285"/>
      <c r="Y40" s="285"/>
      <c r="Z40" s="285"/>
      <c r="AA40" s="285"/>
      <c r="AB40" s="285"/>
      <c r="AC40" s="261"/>
    </row>
    <row r="41" spans="3:23" ht="9" customHeight="1">
      <c r="C41" s="261" t="s">
        <v>56</v>
      </c>
      <c r="D41" s="261"/>
      <c r="E41" s="261"/>
      <c r="F41" s="261"/>
      <c r="G41" s="261"/>
      <c r="H41" s="261"/>
      <c r="I41" s="261"/>
      <c r="J41" s="261"/>
      <c r="K41" s="261"/>
      <c r="L41" s="279" t="str">
        <f>IF(T39="неудовлетворительно","ЗАПРЕЩАЮ!!!","РАЗРЕШАЮ")</f>
        <v>РАЗРЕШАЮ</v>
      </c>
      <c r="M41" s="279"/>
      <c r="N41" s="279"/>
      <c r="O41" s="279"/>
      <c r="P41" s="271" t="s">
        <v>57</v>
      </c>
      <c r="Q41" s="271"/>
      <c r="R41" s="271"/>
      <c r="S41" s="271"/>
      <c r="T41" s="75"/>
      <c r="U41" s="277" t="s">
        <v>58</v>
      </c>
      <c r="V41" s="278"/>
      <c r="W41" s="278"/>
    </row>
    <row r="42" spans="3:23" ht="9" customHeight="1">
      <c r="C42" s="261"/>
      <c r="D42" s="261"/>
      <c r="E42" s="261"/>
      <c r="F42" s="261"/>
      <c r="G42" s="261"/>
      <c r="H42" s="261"/>
      <c r="I42" s="261"/>
      <c r="J42" s="261"/>
      <c r="K42" s="261"/>
      <c r="L42" s="279"/>
      <c r="M42" s="279"/>
      <c r="N42" s="279"/>
      <c r="O42" s="279"/>
      <c r="P42" s="271"/>
      <c r="Q42" s="271"/>
      <c r="R42" s="271"/>
      <c r="S42" s="271"/>
      <c r="T42" s="75"/>
      <c r="U42" s="278"/>
      <c r="V42" s="278"/>
      <c r="W42" s="278"/>
    </row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7.5" customHeight="1"/>
  </sheetData>
  <sheetProtection password="C70D" sheet="1" objects="1" scenarios="1"/>
  <mergeCells count="31">
    <mergeCell ref="C33:D33"/>
    <mergeCell ref="C35:D35"/>
    <mergeCell ref="C34:D34"/>
    <mergeCell ref="C3:C4"/>
    <mergeCell ref="E3:E4"/>
    <mergeCell ref="D3:D4"/>
    <mergeCell ref="C32:D32"/>
    <mergeCell ref="T39:AB40"/>
    <mergeCell ref="Y36:AA37"/>
    <mergeCell ref="L3:M4"/>
    <mergeCell ref="I3:J4"/>
    <mergeCell ref="P10:X10"/>
    <mergeCell ref="P11:X11"/>
    <mergeCell ref="P12:X12"/>
    <mergeCell ref="P41:S42"/>
    <mergeCell ref="C36:E37"/>
    <mergeCell ref="F36:W37"/>
    <mergeCell ref="C39:F40"/>
    <mergeCell ref="U41:W42"/>
    <mergeCell ref="C41:K42"/>
    <mergeCell ref="L41:O42"/>
    <mergeCell ref="G39:S40"/>
    <mergeCell ref="Y30:AC31"/>
    <mergeCell ref="AC39:AC40"/>
    <mergeCell ref="P5:X5"/>
    <mergeCell ref="P6:X6"/>
    <mergeCell ref="P7:X7"/>
    <mergeCell ref="P8:X8"/>
    <mergeCell ref="P13:X13"/>
    <mergeCell ref="P14:X14"/>
    <mergeCell ref="P9:X9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J9" sqref="J9"/>
    </sheetView>
  </sheetViews>
  <sheetFormatPr defaultColWidth="9.00390625" defaultRowHeight="12.75"/>
  <cols>
    <col min="1" max="1" width="8.375" style="0" customWidth="1"/>
  </cols>
  <sheetData>
    <row r="1" spans="1:9" ht="15">
      <c r="A1" s="108"/>
      <c r="B1" s="108"/>
      <c r="C1" s="108"/>
      <c r="D1" s="108"/>
      <c r="E1" s="108"/>
      <c r="F1" s="108"/>
      <c r="G1" s="108" t="s">
        <v>74</v>
      </c>
      <c r="H1" s="108"/>
      <c r="I1" s="108"/>
    </row>
    <row r="2" spans="1:9" ht="1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/>
      <c r="B3" s="108"/>
      <c r="C3" s="108"/>
      <c r="D3" s="108"/>
      <c r="E3" s="108"/>
      <c r="F3" s="108" t="s">
        <v>72</v>
      </c>
      <c r="G3" s="108"/>
      <c r="H3" s="108"/>
      <c r="I3" s="108"/>
    </row>
    <row r="4" spans="1:9" ht="15">
      <c r="A4" s="108"/>
      <c r="B4" s="108"/>
      <c r="C4" s="108"/>
      <c r="D4" s="108"/>
      <c r="E4" s="108"/>
      <c r="F4" s="108" t="s">
        <v>73</v>
      </c>
      <c r="G4" s="108"/>
      <c r="H4" s="108"/>
      <c r="I4" s="108"/>
    </row>
    <row r="5" spans="1:9" ht="15">
      <c r="A5" s="108"/>
      <c r="B5" s="108"/>
      <c r="C5" s="108"/>
      <c r="D5" s="108"/>
      <c r="E5" s="108"/>
      <c r="F5" s="108" t="s">
        <v>75</v>
      </c>
      <c r="G5" s="108"/>
      <c r="H5" s="108"/>
      <c r="I5" s="108"/>
    </row>
    <row r="6" spans="1:9" ht="15">
      <c r="A6" s="108"/>
      <c r="B6" s="108"/>
      <c r="C6" s="108"/>
      <c r="D6" s="108"/>
      <c r="E6" s="108"/>
      <c r="F6" s="108"/>
      <c r="G6" s="287" t="s">
        <v>76</v>
      </c>
      <c r="H6" s="287"/>
      <c r="I6" s="108"/>
    </row>
    <row r="7" spans="1:9" ht="15">
      <c r="A7" s="108"/>
      <c r="B7" s="108"/>
      <c r="C7" s="108"/>
      <c r="D7" s="108"/>
      <c r="E7" s="108"/>
      <c r="F7" s="108"/>
      <c r="G7" s="109"/>
      <c r="H7" s="109"/>
      <c r="I7" s="108"/>
    </row>
    <row r="8" spans="1:9" ht="16.5" customHeight="1">
      <c r="A8" s="108"/>
      <c r="B8" s="108"/>
      <c r="C8" s="108"/>
      <c r="D8" s="108"/>
      <c r="E8" s="108"/>
      <c r="F8" s="108" t="s">
        <v>77</v>
      </c>
      <c r="G8" s="108" t="s">
        <v>78</v>
      </c>
      <c r="H8" s="108"/>
      <c r="I8" s="108" t="s">
        <v>79</v>
      </c>
    </row>
    <row r="9" spans="1:9" ht="16.5" customHeight="1">
      <c r="A9" s="108"/>
      <c r="B9" s="108"/>
      <c r="C9" s="108"/>
      <c r="D9" s="108"/>
      <c r="E9" s="108"/>
      <c r="F9" s="108"/>
      <c r="G9" s="108"/>
      <c r="H9" s="108"/>
      <c r="I9" s="108"/>
    </row>
    <row r="10" spans="1:9" ht="16.5" customHeight="1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6.5" customHeight="1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8">
      <c r="A12" s="108"/>
      <c r="B12" s="108"/>
      <c r="C12" s="108"/>
      <c r="D12" s="108"/>
      <c r="E12" s="110" t="s">
        <v>80</v>
      </c>
      <c r="F12" s="108"/>
      <c r="G12" s="108"/>
      <c r="H12" s="108"/>
      <c r="I12" s="108"/>
    </row>
    <row r="13" spans="1:9" ht="1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ht="15">
      <c r="A14" s="108"/>
      <c r="B14" s="108"/>
      <c r="D14" s="108" t="s">
        <v>81</v>
      </c>
      <c r="E14" s="108"/>
      <c r="F14" s="108"/>
      <c r="G14" s="108"/>
      <c r="H14" s="108"/>
      <c r="I14" s="108"/>
    </row>
    <row r="15" spans="1:9" ht="15">
      <c r="A15" s="108"/>
      <c r="B15" s="108"/>
      <c r="C15" s="288" t="s">
        <v>82</v>
      </c>
      <c r="D15" s="288"/>
      <c r="E15" s="288"/>
      <c r="F15" s="288"/>
      <c r="G15" s="288"/>
      <c r="H15" s="108"/>
      <c r="I15" s="108"/>
    </row>
    <row r="16" spans="1:9" ht="15.75" thickBot="1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ht="15">
      <c r="A17" s="121" t="s">
        <v>83</v>
      </c>
      <c r="B17" s="289" t="s">
        <v>90</v>
      </c>
      <c r="C17" s="290"/>
      <c r="D17" s="290"/>
      <c r="E17" s="290"/>
      <c r="F17" s="291"/>
      <c r="G17" s="122" t="s">
        <v>92</v>
      </c>
      <c r="H17" s="124" t="s">
        <v>94</v>
      </c>
      <c r="I17" s="125" t="s">
        <v>96</v>
      </c>
    </row>
    <row r="18" spans="1:9" ht="17.25" customHeight="1" thickBot="1">
      <c r="A18" s="120" t="s">
        <v>84</v>
      </c>
      <c r="B18" s="294" t="s">
        <v>91</v>
      </c>
      <c r="C18" s="295"/>
      <c r="D18" s="295"/>
      <c r="E18" s="295"/>
      <c r="F18" s="296"/>
      <c r="G18" s="123" t="s">
        <v>93</v>
      </c>
      <c r="H18" s="114" t="s">
        <v>95</v>
      </c>
      <c r="I18" s="113" t="s">
        <v>97</v>
      </c>
    </row>
    <row r="19" spans="1:9" ht="15.75" thickBot="1">
      <c r="A19" s="126" t="s">
        <v>85</v>
      </c>
      <c r="B19" s="127"/>
      <c r="C19" s="128"/>
      <c r="D19" s="128" t="s">
        <v>86</v>
      </c>
      <c r="E19" s="128"/>
      <c r="F19" s="129"/>
      <c r="G19" s="127" t="s">
        <v>87</v>
      </c>
      <c r="H19" s="126" t="s">
        <v>88</v>
      </c>
      <c r="I19" s="129" t="s">
        <v>89</v>
      </c>
    </row>
    <row r="20" spans="1:9" ht="15">
      <c r="A20" s="135"/>
      <c r="B20" s="117"/>
      <c r="C20" s="118"/>
      <c r="D20" s="118"/>
      <c r="E20" s="118"/>
      <c r="F20" s="119"/>
      <c r="G20" s="117"/>
      <c r="H20" s="135"/>
      <c r="I20" s="119"/>
    </row>
    <row r="21" spans="1:9" ht="15">
      <c r="A21" s="135" t="s">
        <v>85</v>
      </c>
      <c r="B21" s="117" t="s">
        <v>98</v>
      </c>
      <c r="C21" s="118"/>
      <c r="D21" s="118"/>
      <c r="E21" s="118"/>
      <c r="F21" s="119"/>
      <c r="G21" s="292"/>
      <c r="H21" s="135" t="s">
        <v>100</v>
      </c>
      <c r="I21" s="119"/>
    </row>
    <row r="22" spans="1:9" ht="15">
      <c r="A22" s="136"/>
      <c r="B22" s="131" t="s">
        <v>99</v>
      </c>
      <c r="C22" s="132"/>
      <c r="D22" s="132"/>
      <c r="E22" s="132"/>
      <c r="F22" s="133"/>
      <c r="G22" s="293"/>
      <c r="H22" s="136" t="s">
        <v>101</v>
      </c>
      <c r="I22" s="133"/>
    </row>
    <row r="23" spans="1:9" ht="15">
      <c r="A23" s="135"/>
      <c r="B23" s="117"/>
      <c r="C23" s="118"/>
      <c r="D23" s="118"/>
      <c r="E23" s="118"/>
      <c r="F23" s="119"/>
      <c r="G23" s="117"/>
      <c r="H23" s="135"/>
      <c r="I23" s="119"/>
    </row>
    <row r="24" spans="1:9" ht="15">
      <c r="A24" s="135" t="s">
        <v>86</v>
      </c>
      <c r="B24" s="117" t="s">
        <v>102</v>
      </c>
      <c r="C24" s="118"/>
      <c r="D24" s="118"/>
      <c r="E24" s="118"/>
      <c r="F24" s="119"/>
      <c r="G24" s="292"/>
      <c r="H24" s="135" t="s">
        <v>103</v>
      </c>
      <c r="I24" s="119"/>
    </row>
    <row r="25" spans="1:9" ht="15">
      <c r="A25" s="136"/>
      <c r="B25" s="131" t="s">
        <v>114</v>
      </c>
      <c r="C25" s="132"/>
      <c r="D25" s="132"/>
      <c r="E25" s="132"/>
      <c r="F25" s="133"/>
      <c r="G25" s="293"/>
      <c r="H25" s="136"/>
      <c r="I25" s="133"/>
    </row>
    <row r="26" spans="1:9" ht="15">
      <c r="A26" s="135"/>
      <c r="B26" s="117"/>
      <c r="C26" s="118"/>
      <c r="D26" s="118"/>
      <c r="E26" s="118"/>
      <c r="F26" s="119"/>
      <c r="G26" s="134"/>
      <c r="H26" s="135"/>
      <c r="I26" s="119"/>
    </row>
    <row r="27" spans="1:9" ht="15">
      <c r="A27" s="135" t="s">
        <v>87</v>
      </c>
      <c r="B27" s="117" t="s">
        <v>104</v>
      </c>
      <c r="C27" s="118"/>
      <c r="D27" s="118" t="s">
        <v>105</v>
      </c>
      <c r="E27" s="118"/>
      <c r="F27" s="119"/>
      <c r="G27" s="292"/>
      <c r="H27" s="135" t="s">
        <v>103</v>
      </c>
      <c r="I27" s="119"/>
    </row>
    <row r="28" spans="1:9" ht="15">
      <c r="A28" s="136"/>
      <c r="B28" s="131" t="s">
        <v>106</v>
      </c>
      <c r="C28" s="132"/>
      <c r="D28" s="132"/>
      <c r="E28" s="132"/>
      <c r="F28" s="133"/>
      <c r="G28" s="293"/>
      <c r="H28" s="136"/>
      <c r="I28" s="133"/>
    </row>
    <row r="29" spans="1:9" ht="15">
      <c r="A29" s="135"/>
      <c r="B29" s="117"/>
      <c r="C29" s="118"/>
      <c r="D29" s="118"/>
      <c r="E29" s="118"/>
      <c r="F29" s="119"/>
      <c r="G29" s="117"/>
      <c r="H29" s="135"/>
      <c r="I29" s="119"/>
    </row>
    <row r="30" spans="1:9" ht="15">
      <c r="A30" s="135" t="s">
        <v>88</v>
      </c>
      <c r="B30" s="117" t="s">
        <v>107</v>
      </c>
      <c r="C30" s="118"/>
      <c r="D30" s="118"/>
      <c r="E30" s="118"/>
      <c r="F30" s="119"/>
      <c r="G30" s="117"/>
      <c r="H30" s="135" t="s">
        <v>103</v>
      </c>
      <c r="I30" s="119"/>
    </row>
    <row r="31" spans="1:9" ht="15">
      <c r="A31" s="136"/>
      <c r="B31" s="131" t="s">
        <v>108</v>
      </c>
      <c r="C31" s="132"/>
      <c r="D31" s="132"/>
      <c r="E31" s="132"/>
      <c r="F31" s="133"/>
      <c r="G31" s="131"/>
      <c r="H31" s="136"/>
      <c r="I31" s="133"/>
    </row>
    <row r="32" spans="1:9" ht="15">
      <c r="A32" s="135"/>
      <c r="B32" s="117"/>
      <c r="C32" s="118"/>
      <c r="D32" s="118"/>
      <c r="E32" s="118"/>
      <c r="F32" s="119"/>
      <c r="G32" s="117"/>
      <c r="H32" s="135"/>
      <c r="I32" s="119"/>
    </row>
    <row r="33" spans="1:9" ht="15">
      <c r="A33" s="135" t="s">
        <v>89</v>
      </c>
      <c r="B33" s="117" t="s">
        <v>109</v>
      </c>
      <c r="C33" s="118"/>
      <c r="D33" s="118"/>
      <c r="E33" s="118"/>
      <c r="F33" s="119"/>
      <c r="G33" s="117"/>
      <c r="H33" s="135"/>
      <c r="I33" s="119"/>
    </row>
    <row r="34" spans="1:9" ht="15">
      <c r="A34" s="135"/>
      <c r="B34" s="117" t="s">
        <v>110</v>
      </c>
      <c r="C34" s="118"/>
      <c r="D34" s="118"/>
      <c r="E34" s="118"/>
      <c r="F34" s="119"/>
      <c r="G34" s="117"/>
      <c r="H34" s="135" t="s">
        <v>103</v>
      </c>
      <c r="I34" s="119"/>
    </row>
    <row r="35" spans="1:9" ht="15">
      <c r="A35" s="135"/>
      <c r="B35" s="117" t="s">
        <v>111</v>
      </c>
      <c r="C35" s="118"/>
      <c r="D35" s="118"/>
      <c r="E35" s="118"/>
      <c r="F35" s="119"/>
      <c r="G35" s="117"/>
      <c r="H35" s="135"/>
      <c r="I35" s="119"/>
    </row>
    <row r="36" spans="1:9" ht="15">
      <c r="A36" s="135"/>
      <c r="B36" s="118" t="s">
        <v>112</v>
      </c>
      <c r="C36" s="118"/>
      <c r="D36" s="118"/>
      <c r="E36" s="118"/>
      <c r="F36" s="119"/>
      <c r="G36" s="117"/>
      <c r="H36" s="135"/>
      <c r="I36" s="119"/>
    </row>
    <row r="37" spans="1:9" ht="15">
      <c r="A37" s="136"/>
      <c r="B37" s="131" t="s">
        <v>113</v>
      </c>
      <c r="C37" s="132"/>
      <c r="D37" s="132"/>
      <c r="E37" s="132"/>
      <c r="F37" s="133"/>
      <c r="G37" s="131"/>
      <c r="H37" s="136"/>
      <c r="I37" s="133"/>
    </row>
    <row r="38" spans="1:9" ht="15">
      <c r="A38" s="135"/>
      <c r="B38" s="117"/>
      <c r="C38" s="118"/>
      <c r="D38" s="118"/>
      <c r="E38" s="118"/>
      <c r="F38" s="119"/>
      <c r="G38" s="117"/>
      <c r="H38" s="135"/>
      <c r="I38" s="119"/>
    </row>
    <row r="39" spans="1:9" ht="15">
      <c r="A39" s="135" t="s">
        <v>115</v>
      </c>
      <c r="B39" s="117" t="s">
        <v>116</v>
      </c>
      <c r="C39" s="118"/>
      <c r="D39" s="118"/>
      <c r="E39" s="118"/>
      <c r="F39" s="119"/>
      <c r="G39" s="117"/>
      <c r="H39" s="135" t="s">
        <v>118</v>
      </c>
      <c r="I39" s="119"/>
    </row>
    <row r="40" spans="1:9" ht="15">
      <c r="A40" s="136"/>
      <c r="B40" s="131" t="s">
        <v>117</v>
      </c>
      <c r="C40" s="132"/>
      <c r="D40" s="132"/>
      <c r="E40" s="132"/>
      <c r="F40" s="133"/>
      <c r="G40" s="131"/>
      <c r="H40" s="136"/>
      <c r="I40" s="133"/>
    </row>
    <row r="41" spans="1:9" ht="15">
      <c r="A41" s="135"/>
      <c r="B41" s="117"/>
      <c r="C41" s="118"/>
      <c r="D41" s="118"/>
      <c r="E41" s="118"/>
      <c r="F41" s="119"/>
      <c r="G41" s="117"/>
      <c r="H41" s="135"/>
      <c r="I41" s="119"/>
    </row>
    <row r="42" spans="1:9" ht="15">
      <c r="A42" s="135" t="s">
        <v>119</v>
      </c>
      <c r="B42" s="117" t="s">
        <v>120</v>
      </c>
      <c r="C42" s="118"/>
      <c r="D42" s="118"/>
      <c r="E42" s="118"/>
      <c r="F42" s="119"/>
      <c r="G42" s="117"/>
      <c r="H42" s="135"/>
      <c r="I42" s="119"/>
    </row>
    <row r="43" spans="1:9" ht="15">
      <c r="A43" s="135"/>
      <c r="B43" s="117" t="s">
        <v>121</v>
      </c>
      <c r="C43" s="118"/>
      <c r="D43" s="118"/>
      <c r="E43" s="118"/>
      <c r="F43" s="119"/>
      <c r="G43" s="117"/>
      <c r="H43" s="135" t="s">
        <v>118</v>
      </c>
      <c r="I43" s="119"/>
    </row>
    <row r="44" spans="1:9" ht="15">
      <c r="A44" s="135"/>
      <c r="B44" s="117" t="s">
        <v>122</v>
      </c>
      <c r="C44" s="118"/>
      <c r="D44" s="118"/>
      <c r="E44" s="118"/>
      <c r="F44" s="119"/>
      <c r="G44" s="117"/>
      <c r="H44" s="135"/>
      <c r="I44" s="119"/>
    </row>
    <row r="45" spans="1:9" ht="15">
      <c r="A45" s="136"/>
      <c r="B45" s="131"/>
      <c r="C45" s="132"/>
      <c r="D45" s="132"/>
      <c r="E45" s="132"/>
      <c r="F45" s="133"/>
      <c r="G45" s="131"/>
      <c r="H45" s="136"/>
      <c r="I45" s="133"/>
    </row>
    <row r="46" spans="1:9" ht="15">
      <c r="A46" s="135" t="s">
        <v>123</v>
      </c>
      <c r="B46" s="117" t="s">
        <v>124</v>
      </c>
      <c r="C46" s="118"/>
      <c r="D46" s="118"/>
      <c r="E46" s="118"/>
      <c r="F46" s="119"/>
      <c r="G46" s="117"/>
      <c r="H46" s="135" t="s">
        <v>118</v>
      </c>
      <c r="I46" s="119"/>
    </row>
    <row r="47" spans="1:9" ht="15.75" thickBot="1">
      <c r="A47" s="120"/>
      <c r="B47" s="112" t="s">
        <v>125</v>
      </c>
      <c r="C47" s="112"/>
      <c r="D47" s="112"/>
      <c r="E47" s="112" t="s">
        <v>126</v>
      </c>
      <c r="F47" s="113"/>
      <c r="G47" s="111"/>
      <c r="H47" s="120"/>
      <c r="I47" s="113"/>
    </row>
    <row r="49" spans="1:9" ht="15">
      <c r="A49" s="108"/>
      <c r="B49" s="108"/>
      <c r="C49" s="108"/>
      <c r="D49" s="108"/>
      <c r="E49" s="108"/>
      <c r="F49" s="108"/>
      <c r="G49" s="108"/>
      <c r="H49" s="108"/>
      <c r="I49" s="108"/>
    </row>
    <row r="50" spans="1:9" ht="15">
      <c r="A50" s="108"/>
      <c r="B50" s="108"/>
      <c r="C50" s="108"/>
      <c r="D50" s="108"/>
      <c r="E50" s="108"/>
      <c r="F50" s="108"/>
      <c r="G50" s="108"/>
      <c r="H50" s="108"/>
      <c r="I50" s="108"/>
    </row>
    <row r="51" spans="1:9" ht="15">
      <c r="A51" s="108"/>
      <c r="B51" s="108"/>
      <c r="C51" s="108"/>
      <c r="D51" s="108"/>
      <c r="E51" s="108"/>
      <c r="F51" s="108"/>
      <c r="G51" s="108"/>
      <c r="H51" s="108"/>
      <c r="I51" s="108"/>
    </row>
    <row r="52" spans="1:9" ht="15">
      <c r="A52" s="108"/>
      <c r="B52" s="108"/>
      <c r="C52" s="108"/>
      <c r="D52" s="108"/>
      <c r="E52" s="108"/>
      <c r="F52" s="108"/>
      <c r="G52" s="108"/>
      <c r="H52" s="108"/>
      <c r="I52" s="108"/>
    </row>
    <row r="53" spans="1:9" ht="15">
      <c r="A53" s="108"/>
      <c r="B53" s="108"/>
      <c r="C53" s="108"/>
      <c r="D53" s="108"/>
      <c r="E53" s="108"/>
      <c r="F53" s="108"/>
      <c r="G53" s="108"/>
      <c r="H53" s="108"/>
      <c r="I53" s="108"/>
    </row>
    <row r="54" spans="1:9" ht="15">
      <c r="A54" s="108"/>
      <c r="B54" s="108"/>
      <c r="C54" s="108"/>
      <c r="D54" s="108"/>
      <c r="E54" s="108"/>
      <c r="F54" s="108"/>
      <c r="G54" s="108"/>
      <c r="H54" s="108"/>
      <c r="I54" s="108"/>
    </row>
    <row r="55" spans="1:9" ht="15">
      <c r="A55" s="108"/>
      <c r="B55" s="108"/>
      <c r="C55" s="108"/>
      <c r="D55" s="108"/>
      <c r="E55" s="108"/>
      <c r="F55" s="108"/>
      <c r="G55" s="108"/>
      <c r="H55" s="108"/>
      <c r="I55" s="108"/>
    </row>
    <row r="56" spans="1:9" ht="15">
      <c r="A56" s="108"/>
      <c r="B56" s="108"/>
      <c r="C56" s="108"/>
      <c r="D56" s="108"/>
      <c r="E56" s="108"/>
      <c r="F56" s="108"/>
      <c r="G56" s="108"/>
      <c r="H56" s="108"/>
      <c r="I56" s="108"/>
    </row>
  </sheetData>
  <mergeCells count="7">
    <mergeCell ref="G6:H6"/>
    <mergeCell ref="C15:G15"/>
    <mergeCell ref="B17:F17"/>
    <mergeCell ref="G27:G28"/>
    <mergeCell ref="G24:G25"/>
    <mergeCell ref="G21:G22"/>
    <mergeCell ref="B18:F18"/>
  </mergeCells>
  <printOptions/>
  <pageMargins left="0.7874015748031497" right="0.37" top="0.4724409448818898" bottom="0.3937007874015748" header="0.31496062992125984" footer="0.2755905511811024"/>
  <pageSetup horizontalDpi="300" verticalDpi="300" orientation="portrait" pageOrder="overThenDown" paperSize="9" scale="10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K21" sqref="K21"/>
    </sheetView>
  </sheetViews>
  <sheetFormatPr defaultColWidth="9.00390625" defaultRowHeight="12.75"/>
  <sheetData>
    <row r="1" spans="1:9" ht="15.75" thickBot="1">
      <c r="A1" s="126" t="s">
        <v>85</v>
      </c>
      <c r="B1" s="127"/>
      <c r="C1" s="128"/>
      <c r="D1" s="128" t="s">
        <v>86</v>
      </c>
      <c r="E1" s="128"/>
      <c r="F1" s="129"/>
      <c r="G1" s="126" t="s">
        <v>87</v>
      </c>
      <c r="H1" s="126" t="s">
        <v>88</v>
      </c>
      <c r="I1" s="126" t="s">
        <v>89</v>
      </c>
    </row>
    <row r="2" spans="1:9" ht="15">
      <c r="A2" s="116"/>
      <c r="B2" s="117"/>
      <c r="C2" s="118"/>
      <c r="D2" s="118"/>
      <c r="E2" s="118"/>
      <c r="F2" s="119"/>
      <c r="G2" s="116"/>
      <c r="H2" s="115"/>
      <c r="I2" s="115"/>
    </row>
    <row r="3" spans="1:9" ht="15">
      <c r="A3" s="116" t="s">
        <v>127</v>
      </c>
      <c r="B3" s="117" t="s">
        <v>128</v>
      </c>
      <c r="C3" s="118"/>
      <c r="D3" s="118"/>
      <c r="E3" s="118"/>
      <c r="F3" s="119"/>
      <c r="G3" s="116"/>
      <c r="H3" s="135" t="s">
        <v>100</v>
      </c>
      <c r="I3" s="116"/>
    </row>
    <row r="4" spans="1:9" ht="15">
      <c r="A4" s="116"/>
      <c r="B4" s="117" t="s">
        <v>129</v>
      </c>
      <c r="C4" s="118"/>
      <c r="D4" s="118"/>
      <c r="E4" s="118"/>
      <c r="F4" s="119"/>
      <c r="G4" s="116"/>
      <c r="H4" s="136" t="s">
        <v>101</v>
      </c>
      <c r="I4" s="116"/>
    </row>
    <row r="5" spans="1:9" ht="15">
      <c r="A5" s="130"/>
      <c r="B5" s="131"/>
      <c r="C5" s="132"/>
      <c r="D5" s="132"/>
      <c r="E5" s="132"/>
      <c r="F5" s="133"/>
      <c r="G5" s="130"/>
      <c r="H5" s="130"/>
      <c r="I5" s="130"/>
    </row>
    <row r="6" spans="1:9" ht="15">
      <c r="A6" s="116" t="s">
        <v>130</v>
      </c>
      <c r="B6" s="117" t="s">
        <v>131</v>
      </c>
      <c r="C6" s="118"/>
      <c r="D6" s="118"/>
      <c r="E6" s="118"/>
      <c r="F6" s="119"/>
      <c r="G6" s="116"/>
      <c r="H6" s="135" t="s">
        <v>100</v>
      </c>
      <c r="I6" s="116"/>
    </row>
    <row r="7" spans="1:9" ht="15">
      <c r="A7" s="116"/>
      <c r="B7" s="117" t="s">
        <v>132</v>
      </c>
      <c r="C7" s="118"/>
      <c r="D7" s="118"/>
      <c r="E7" s="118"/>
      <c r="F7" s="119"/>
      <c r="G7" s="116"/>
      <c r="H7" s="136" t="s">
        <v>101</v>
      </c>
      <c r="I7" s="116"/>
    </row>
    <row r="8" spans="1:9" ht="15">
      <c r="A8" s="116"/>
      <c r="B8" s="117" t="s">
        <v>133</v>
      </c>
      <c r="C8" s="118"/>
      <c r="D8" s="118"/>
      <c r="E8" s="118"/>
      <c r="F8" s="119"/>
      <c r="G8" s="116"/>
      <c r="H8" s="116"/>
      <c r="I8" s="116"/>
    </row>
    <row r="9" spans="1:9" ht="15">
      <c r="A9" s="130"/>
      <c r="B9" s="131" t="s">
        <v>134</v>
      </c>
      <c r="C9" s="132"/>
      <c r="D9" s="132"/>
      <c r="E9" s="132"/>
      <c r="F9" s="133"/>
      <c r="G9" s="130"/>
      <c r="H9" s="130"/>
      <c r="I9" s="130"/>
    </row>
    <row r="10" spans="1:9" ht="15">
      <c r="A10" s="116"/>
      <c r="B10" s="117"/>
      <c r="C10" s="118"/>
      <c r="D10" s="118"/>
      <c r="E10" s="118"/>
      <c r="F10" s="119"/>
      <c r="G10" s="116"/>
      <c r="H10" s="116"/>
      <c r="I10" s="116"/>
    </row>
    <row r="11" spans="1:9" ht="15">
      <c r="A11" s="116" t="s">
        <v>135</v>
      </c>
      <c r="B11" s="117" t="s">
        <v>139</v>
      </c>
      <c r="C11" s="118"/>
      <c r="D11" s="118"/>
      <c r="E11" s="118"/>
      <c r="F11" s="119"/>
      <c r="G11" s="116"/>
      <c r="H11" s="135" t="s">
        <v>103</v>
      </c>
      <c r="I11" s="116"/>
    </row>
    <row r="12" spans="1:9" ht="15">
      <c r="A12" s="130"/>
      <c r="B12" s="131" t="s">
        <v>136</v>
      </c>
      <c r="C12" s="132"/>
      <c r="D12" s="132"/>
      <c r="E12" s="132"/>
      <c r="F12" s="133"/>
      <c r="G12" s="130"/>
      <c r="H12" s="136" t="s">
        <v>137</v>
      </c>
      <c r="I12" s="130"/>
    </row>
    <row r="13" spans="1:9" ht="15">
      <c r="A13" s="116"/>
      <c r="B13" s="117"/>
      <c r="C13" s="118"/>
      <c r="D13" s="118"/>
      <c r="E13" s="118"/>
      <c r="F13" s="119"/>
      <c r="G13" s="116"/>
      <c r="H13" s="116"/>
      <c r="I13" s="116"/>
    </row>
    <row r="14" spans="1:9" ht="15">
      <c r="A14" s="116" t="s">
        <v>138</v>
      </c>
      <c r="B14" s="117" t="s">
        <v>140</v>
      </c>
      <c r="C14" s="118"/>
      <c r="D14" s="118"/>
      <c r="E14" s="118"/>
      <c r="F14" s="119"/>
      <c r="G14" s="116"/>
      <c r="H14" s="135" t="s">
        <v>103</v>
      </c>
      <c r="I14" s="116"/>
    </row>
    <row r="15" spans="1:9" ht="15">
      <c r="A15" s="130"/>
      <c r="B15" s="131" t="s">
        <v>141</v>
      </c>
      <c r="C15" s="132"/>
      <c r="D15" s="132"/>
      <c r="E15" s="132"/>
      <c r="F15" s="133"/>
      <c r="G15" s="130"/>
      <c r="H15" s="136" t="s">
        <v>118</v>
      </c>
      <c r="I15" s="130"/>
    </row>
    <row r="16" spans="1:9" ht="15">
      <c r="A16" s="116"/>
      <c r="B16" s="117"/>
      <c r="C16" s="118"/>
      <c r="D16" s="118"/>
      <c r="E16" s="118"/>
      <c r="F16" s="119"/>
      <c r="G16" s="116"/>
      <c r="H16" s="116"/>
      <c r="I16" s="116"/>
    </row>
    <row r="17" spans="1:9" ht="15">
      <c r="A17" s="116" t="s">
        <v>142</v>
      </c>
      <c r="B17" s="117" t="s">
        <v>143</v>
      </c>
      <c r="C17" s="118"/>
      <c r="D17" s="118"/>
      <c r="E17" s="118"/>
      <c r="F17" s="119"/>
      <c r="G17" s="116"/>
      <c r="H17" s="135" t="s">
        <v>103</v>
      </c>
      <c r="I17" s="116"/>
    </row>
    <row r="18" spans="1:9" ht="15">
      <c r="A18" s="130"/>
      <c r="B18" s="131" t="s">
        <v>144</v>
      </c>
      <c r="C18" s="132"/>
      <c r="D18" s="132"/>
      <c r="E18" s="132"/>
      <c r="F18" s="133"/>
      <c r="G18" s="130"/>
      <c r="H18" s="130"/>
      <c r="I18" s="130"/>
    </row>
    <row r="19" spans="1:9" ht="15">
      <c r="A19" s="135"/>
      <c r="B19" s="117"/>
      <c r="C19" s="118"/>
      <c r="D19" s="118"/>
      <c r="E19" s="118"/>
      <c r="F19" s="119"/>
      <c r="G19" s="116"/>
      <c r="H19" s="116"/>
      <c r="I19" s="116"/>
    </row>
    <row r="20" spans="1:9" ht="15">
      <c r="A20" s="116" t="s">
        <v>145</v>
      </c>
      <c r="B20" s="117" t="s">
        <v>146</v>
      </c>
      <c r="C20" s="118"/>
      <c r="D20" s="118"/>
      <c r="E20" s="118"/>
      <c r="F20" s="119"/>
      <c r="G20" s="116"/>
      <c r="H20" s="135" t="s">
        <v>100</v>
      </c>
      <c r="I20" s="116"/>
    </row>
    <row r="21" spans="1:9" ht="15">
      <c r="A21" s="130"/>
      <c r="B21" s="131" t="s">
        <v>147</v>
      </c>
      <c r="C21" s="132"/>
      <c r="D21" s="132"/>
      <c r="E21" s="132"/>
      <c r="F21" s="133"/>
      <c r="G21" s="130"/>
      <c r="H21" s="136" t="s">
        <v>101</v>
      </c>
      <c r="I21" s="130"/>
    </row>
    <row r="22" spans="1:9" ht="15">
      <c r="A22" s="116"/>
      <c r="B22" s="117"/>
      <c r="C22" s="118"/>
      <c r="D22" s="118"/>
      <c r="E22" s="118"/>
      <c r="F22" s="119"/>
      <c r="G22" s="116"/>
      <c r="H22" s="116"/>
      <c r="I22" s="116"/>
    </row>
    <row r="23" spans="1:9" ht="15">
      <c r="A23" s="116" t="s">
        <v>148</v>
      </c>
      <c r="B23" s="117" t="s">
        <v>149</v>
      </c>
      <c r="C23" s="118"/>
      <c r="D23" s="118"/>
      <c r="E23" s="118"/>
      <c r="F23" s="119"/>
      <c r="G23" s="116"/>
      <c r="H23" s="116" t="s">
        <v>151</v>
      </c>
      <c r="I23" s="116"/>
    </row>
    <row r="24" spans="1:9" ht="15.75" thickBot="1">
      <c r="A24" s="114"/>
      <c r="B24" s="111" t="s">
        <v>150</v>
      </c>
      <c r="C24" s="112"/>
      <c r="D24" s="112"/>
      <c r="E24" s="112"/>
      <c r="F24" s="113"/>
      <c r="G24" s="114"/>
      <c r="H24" s="120" t="s">
        <v>152</v>
      </c>
      <c r="I24" s="114"/>
    </row>
    <row r="29" ht="12.75">
      <c r="A29" t="s">
        <v>153</v>
      </c>
    </row>
    <row r="31" ht="12.75">
      <c r="A31" t="s">
        <v>154</v>
      </c>
    </row>
  </sheetData>
  <printOptions/>
  <pageMargins left="0.75" right="0.37" top="1.02" bottom="1" header="0.5" footer="0.5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8" sqref="A18"/>
    </sheetView>
  </sheetViews>
  <sheetFormatPr defaultColWidth="9.00390625" defaultRowHeight="12.75"/>
  <sheetData>
    <row r="1" spans="1:9" ht="15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5">
      <c r="A4" s="108"/>
      <c r="B4" s="108"/>
      <c r="C4" s="108"/>
      <c r="D4" s="108"/>
      <c r="E4" s="108"/>
      <c r="F4" s="108"/>
      <c r="G4" s="108"/>
      <c r="H4" s="108"/>
      <c r="I4" s="108"/>
    </row>
    <row r="5" spans="1:9" ht="23.25">
      <c r="A5" s="108"/>
      <c r="B5" s="108"/>
      <c r="C5" s="108"/>
      <c r="D5" s="156" t="s">
        <v>218</v>
      </c>
      <c r="E5" s="108"/>
      <c r="F5" s="108"/>
      <c r="G5" s="108"/>
      <c r="H5" s="108"/>
      <c r="I5" s="108"/>
    </row>
    <row r="6" spans="1:9" ht="15">
      <c r="A6" s="108"/>
      <c r="B6" s="108"/>
      <c r="C6" s="108" t="s">
        <v>219</v>
      </c>
      <c r="D6" s="108"/>
      <c r="E6" s="108"/>
      <c r="F6" s="108"/>
      <c r="G6" s="108"/>
      <c r="H6" s="108"/>
      <c r="I6" s="108"/>
    </row>
    <row r="7" spans="1:9" ht="15">
      <c r="A7" s="108"/>
      <c r="B7" s="108"/>
      <c r="C7" s="108"/>
      <c r="D7" s="108"/>
      <c r="E7" s="108"/>
      <c r="F7" s="108"/>
      <c r="G7" s="108"/>
      <c r="H7" s="108"/>
      <c r="I7" s="108"/>
    </row>
    <row r="8" spans="1:9" ht="15">
      <c r="A8" s="108"/>
      <c r="B8" s="108"/>
      <c r="C8" s="108"/>
      <c r="D8" s="108"/>
      <c r="E8" s="108" t="s">
        <v>220</v>
      </c>
      <c r="F8" s="108"/>
      <c r="G8" s="108"/>
      <c r="H8" s="108"/>
      <c r="I8" s="108"/>
    </row>
    <row r="9" spans="1:9" ht="15">
      <c r="A9" s="108"/>
      <c r="B9" s="108"/>
      <c r="C9" s="108"/>
      <c r="D9" s="108"/>
      <c r="E9" s="108"/>
      <c r="F9" s="108"/>
      <c r="G9" s="108"/>
      <c r="H9" s="108"/>
      <c r="I9" s="108"/>
    </row>
    <row r="10" spans="1:9" ht="15">
      <c r="A10" s="108" t="s">
        <v>221</v>
      </c>
      <c r="B10" s="108"/>
      <c r="C10" s="108"/>
      <c r="D10" s="108"/>
      <c r="E10" s="108"/>
      <c r="F10" s="108"/>
      <c r="G10" s="108" t="s">
        <v>223</v>
      </c>
      <c r="H10" s="108" t="s">
        <v>222</v>
      </c>
      <c r="I10" s="108"/>
    </row>
    <row r="11" spans="1:9" ht="15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5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ht="15">
      <c r="A13" s="108"/>
      <c r="B13" s="108"/>
      <c r="C13" s="108"/>
      <c r="D13" s="108"/>
      <c r="E13" s="108" t="s">
        <v>226</v>
      </c>
      <c r="F13" s="108" t="s">
        <v>224</v>
      </c>
      <c r="G13" s="108"/>
      <c r="H13" s="108"/>
      <c r="I13" s="108"/>
    </row>
    <row r="14" spans="1:9" ht="15">
      <c r="A14" s="108"/>
      <c r="B14" s="108"/>
      <c r="C14" s="108"/>
      <c r="D14" s="108"/>
      <c r="E14" s="108"/>
      <c r="F14" s="108" t="s">
        <v>225</v>
      </c>
      <c r="G14" s="108"/>
      <c r="H14" s="108"/>
      <c r="I14" s="108"/>
    </row>
    <row r="15" spans="1:9" ht="15">
      <c r="A15" s="108"/>
      <c r="B15" s="108"/>
      <c r="C15" s="108"/>
      <c r="D15" s="108"/>
      <c r="E15" s="108"/>
      <c r="F15" s="108" t="s">
        <v>227</v>
      </c>
      <c r="G15" s="108"/>
      <c r="H15" s="108"/>
      <c r="I15" s="108"/>
    </row>
    <row r="16" spans="1:9" ht="1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ht="15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ht="15">
      <c r="A18" s="108" t="s">
        <v>285</v>
      </c>
      <c r="B18" s="108"/>
      <c r="C18" s="108"/>
      <c r="D18" s="108"/>
      <c r="E18" s="108"/>
      <c r="F18" s="108"/>
      <c r="G18" s="108"/>
      <c r="H18" s="108"/>
      <c r="I18" s="108"/>
    </row>
    <row r="19" spans="1:9" ht="15">
      <c r="A19" s="108" t="s">
        <v>228</v>
      </c>
      <c r="B19" s="108"/>
      <c r="C19" s="108"/>
      <c r="D19" s="108"/>
      <c r="E19" s="108"/>
      <c r="F19" s="108"/>
      <c r="G19" s="108"/>
      <c r="H19" s="108"/>
      <c r="I19" s="108"/>
    </row>
    <row r="20" spans="1:9" ht="15">
      <c r="A20" s="108" t="s">
        <v>229</v>
      </c>
      <c r="B20" s="108"/>
      <c r="C20" s="108"/>
      <c r="D20" s="108"/>
      <c r="E20" s="108"/>
      <c r="F20" s="108"/>
      <c r="G20" s="108"/>
      <c r="H20" s="108"/>
      <c r="I20" s="108"/>
    </row>
    <row r="21" spans="1:9" ht="15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ht="15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ht="20.25">
      <c r="A23" s="108"/>
      <c r="B23" s="108"/>
      <c r="C23" s="108"/>
      <c r="D23" s="157" t="s">
        <v>230</v>
      </c>
      <c r="E23" s="108"/>
      <c r="F23" s="108"/>
      <c r="G23" s="108"/>
      <c r="H23" s="108"/>
      <c r="I23" s="108"/>
    </row>
    <row r="24" spans="1:9" ht="1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ht="18">
      <c r="A25" s="108" t="s">
        <v>253</v>
      </c>
      <c r="B25" s="108"/>
      <c r="C25" s="108"/>
      <c r="D25" s="108"/>
      <c r="E25" s="108"/>
      <c r="F25" s="108"/>
      <c r="G25" s="108"/>
      <c r="H25" s="108"/>
      <c r="I25" s="108"/>
    </row>
    <row r="26" spans="1:9" ht="15">
      <c r="A26" s="108" t="s">
        <v>233</v>
      </c>
      <c r="B26" s="108" t="s">
        <v>239</v>
      </c>
      <c r="C26" s="108"/>
      <c r="D26" s="108"/>
      <c r="E26" s="108"/>
      <c r="F26" s="108"/>
      <c r="G26" s="108"/>
      <c r="H26" s="108"/>
      <c r="I26" s="108"/>
    </row>
    <row r="27" spans="1:9" ht="15">
      <c r="A27" s="108"/>
      <c r="B27" s="108" t="s">
        <v>247</v>
      </c>
      <c r="C27" s="108"/>
      <c r="D27" s="108"/>
      <c r="E27" s="108"/>
      <c r="F27" s="108"/>
      <c r="G27" s="108"/>
      <c r="H27" s="108"/>
      <c r="I27" s="108"/>
    </row>
    <row r="28" spans="1:9" ht="15">
      <c r="A28" s="108" t="s">
        <v>232</v>
      </c>
      <c r="B28" s="108" t="s">
        <v>231</v>
      </c>
      <c r="C28" s="108"/>
      <c r="D28" s="108"/>
      <c r="E28" s="108"/>
      <c r="F28" s="108"/>
      <c r="G28" s="108"/>
      <c r="H28" s="108"/>
      <c r="I28" s="108"/>
    </row>
    <row r="29" spans="1:9" ht="15">
      <c r="A29" s="108"/>
      <c r="B29" s="108" t="s">
        <v>234</v>
      </c>
      <c r="C29" s="108"/>
      <c r="D29" s="108"/>
      <c r="E29" s="108"/>
      <c r="F29" s="108"/>
      <c r="G29" s="108"/>
      <c r="H29" s="108"/>
      <c r="I29" s="108"/>
    </row>
    <row r="30" spans="1:9" ht="15">
      <c r="A30" s="108" t="s">
        <v>235</v>
      </c>
      <c r="B30" s="108" t="s">
        <v>236</v>
      </c>
      <c r="C30" s="108"/>
      <c r="D30" s="108"/>
      <c r="E30" s="108"/>
      <c r="F30" s="108"/>
      <c r="G30" s="108"/>
      <c r="H30" s="108"/>
      <c r="I30" s="108"/>
    </row>
    <row r="31" spans="1:9" ht="15">
      <c r="A31" s="108"/>
      <c r="B31" s="108" t="s">
        <v>237</v>
      </c>
      <c r="C31" s="108"/>
      <c r="D31" s="108"/>
      <c r="E31" s="108"/>
      <c r="F31" s="108"/>
      <c r="G31" s="108"/>
      <c r="H31" s="108"/>
      <c r="I31" s="108"/>
    </row>
    <row r="32" spans="1:9" ht="15">
      <c r="A32" s="108" t="s">
        <v>238</v>
      </c>
      <c r="B32" s="108" t="s">
        <v>240</v>
      </c>
      <c r="C32" s="108"/>
      <c r="D32" s="108"/>
      <c r="E32" s="108"/>
      <c r="F32" s="108"/>
      <c r="G32" s="108"/>
      <c r="H32" s="108"/>
      <c r="I32" s="108"/>
    </row>
    <row r="33" spans="1:9" ht="15">
      <c r="A33" s="108"/>
      <c r="B33" s="108" t="s">
        <v>241</v>
      </c>
      <c r="C33" s="108"/>
      <c r="D33" s="108"/>
      <c r="E33" s="108"/>
      <c r="F33" s="108"/>
      <c r="G33" s="108"/>
      <c r="H33" s="108"/>
      <c r="I33" s="108"/>
    </row>
    <row r="34" spans="1:9" ht="15">
      <c r="A34" s="108" t="s">
        <v>242</v>
      </c>
      <c r="B34" s="108" t="s">
        <v>243</v>
      </c>
      <c r="C34" s="108"/>
      <c r="D34" s="108"/>
      <c r="E34" s="108"/>
      <c r="F34" s="108"/>
      <c r="G34" s="108"/>
      <c r="H34" s="108"/>
      <c r="I34" s="108"/>
    </row>
    <row r="35" spans="1:9" ht="15">
      <c r="A35" s="108"/>
      <c r="B35" s="108" t="s">
        <v>244</v>
      </c>
      <c r="C35" s="108"/>
      <c r="D35" s="108"/>
      <c r="E35" s="108"/>
      <c r="F35" s="108"/>
      <c r="G35" s="108"/>
      <c r="H35" s="108"/>
      <c r="I35" s="108"/>
    </row>
    <row r="36" spans="1:9" ht="15">
      <c r="A36" s="108" t="s">
        <v>245</v>
      </c>
      <c r="B36" s="108" t="s">
        <v>246</v>
      </c>
      <c r="C36" s="108"/>
      <c r="D36" s="108"/>
      <c r="E36" s="108"/>
      <c r="F36" s="108"/>
      <c r="G36" s="108"/>
      <c r="H36" s="108"/>
      <c r="I36" s="108"/>
    </row>
    <row r="37" spans="1:9" ht="15">
      <c r="A37" s="108"/>
      <c r="B37" s="108" t="s">
        <v>248</v>
      </c>
      <c r="C37" s="108"/>
      <c r="D37" s="108"/>
      <c r="E37" s="108"/>
      <c r="F37" s="108"/>
      <c r="G37" s="108"/>
      <c r="H37" s="108"/>
      <c r="I37" s="108"/>
    </row>
    <row r="38" spans="1:9" ht="15">
      <c r="A38" s="108"/>
      <c r="B38" s="108"/>
      <c r="C38" s="108"/>
      <c r="D38" s="108"/>
      <c r="E38" s="108"/>
      <c r="F38" s="108"/>
      <c r="G38" s="108"/>
      <c r="H38" s="108"/>
      <c r="I38" s="108"/>
    </row>
    <row r="39" spans="1:9" ht="18">
      <c r="A39" s="158" t="s">
        <v>249</v>
      </c>
      <c r="B39" s="108" t="s">
        <v>250</v>
      </c>
      <c r="C39" s="108"/>
      <c r="D39" s="108"/>
      <c r="E39" s="108"/>
      <c r="F39" s="108"/>
      <c r="G39" s="108"/>
      <c r="H39" s="108"/>
      <c r="I39" s="108"/>
    </row>
    <row r="40" spans="1:9" ht="15">
      <c r="A40" s="108"/>
      <c r="B40" s="108" t="s">
        <v>251</v>
      </c>
      <c r="C40" s="108"/>
      <c r="D40" s="108"/>
      <c r="E40" s="108"/>
      <c r="F40" s="108"/>
      <c r="G40" s="108"/>
      <c r="H40" s="108"/>
      <c r="I40" s="108"/>
    </row>
    <row r="41" spans="1:9" ht="1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ht="18">
      <c r="A42" s="158" t="s">
        <v>252</v>
      </c>
      <c r="B42" s="108" t="s">
        <v>254</v>
      </c>
      <c r="C42" s="108"/>
      <c r="D42" s="108"/>
      <c r="E42" s="108"/>
      <c r="F42" s="108"/>
      <c r="G42" s="108"/>
      <c r="H42" s="108"/>
      <c r="I42" s="108"/>
    </row>
    <row r="43" spans="1:9" ht="15">
      <c r="A43" s="108"/>
      <c r="B43" s="108" t="s">
        <v>255</v>
      </c>
      <c r="C43" s="108"/>
      <c r="D43" s="108"/>
      <c r="E43" s="108"/>
      <c r="F43" s="108"/>
      <c r="G43" s="108"/>
      <c r="H43" s="108"/>
      <c r="I43" s="108"/>
    </row>
    <row r="44" spans="1:9" ht="15">
      <c r="A44" s="108"/>
      <c r="B44" s="108"/>
      <c r="C44" s="108"/>
      <c r="D44" s="108"/>
      <c r="E44" s="108"/>
      <c r="F44" s="108"/>
      <c r="G44" s="108"/>
      <c r="H44" s="108"/>
      <c r="I44" s="108"/>
    </row>
    <row r="45" spans="1:9" ht="15">
      <c r="A45" s="108"/>
      <c r="B45" s="108" t="s">
        <v>256</v>
      </c>
      <c r="C45" s="108"/>
      <c r="D45" s="108"/>
      <c r="E45" s="108"/>
      <c r="F45" s="108"/>
      <c r="G45" s="108"/>
      <c r="H45" s="108"/>
      <c r="I45" s="108"/>
    </row>
    <row r="46" spans="1:9" ht="15">
      <c r="A46" s="108"/>
      <c r="B46" s="108" t="s">
        <v>257</v>
      </c>
      <c r="C46" s="108"/>
      <c r="D46" s="108"/>
      <c r="E46" s="108"/>
      <c r="F46" s="108"/>
      <c r="G46" s="108"/>
      <c r="H46" s="108"/>
      <c r="I46" s="10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E8" sqref="E8"/>
    </sheetView>
  </sheetViews>
  <sheetFormatPr defaultColWidth="9.00390625" defaultRowHeight="12.75"/>
  <sheetData>
    <row r="1" spans="1:9" ht="15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/>
      <c r="B3" s="108"/>
      <c r="C3" s="108"/>
      <c r="D3" s="108"/>
      <c r="E3" s="108"/>
      <c r="F3" s="108"/>
      <c r="G3" s="108"/>
      <c r="H3" s="108"/>
      <c r="I3" s="108"/>
    </row>
    <row r="4" spans="1:9" ht="23.25">
      <c r="A4" s="108"/>
      <c r="B4" s="108"/>
      <c r="C4" s="108"/>
      <c r="D4" s="156" t="s">
        <v>218</v>
      </c>
      <c r="E4" s="108"/>
      <c r="F4" s="108"/>
      <c r="G4" s="108"/>
      <c r="H4" s="108"/>
      <c r="I4" s="108"/>
    </row>
    <row r="5" spans="1:9" ht="15">
      <c r="A5" s="108"/>
      <c r="B5" s="108"/>
      <c r="C5" s="108" t="s">
        <v>219</v>
      </c>
      <c r="D5" s="108"/>
      <c r="E5" s="108"/>
      <c r="F5" s="108"/>
      <c r="G5" s="108"/>
      <c r="H5" s="108"/>
      <c r="I5" s="108"/>
    </row>
    <row r="6" spans="1:9" ht="15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5">
      <c r="A7" s="108"/>
      <c r="B7" s="108"/>
      <c r="C7" s="108"/>
      <c r="D7" s="108"/>
      <c r="E7" s="108" t="s">
        <v>271</v>
      </c>
      <c r="F7" s="108"/>
      <c r="G7" s="108"/>
      <c r="H7" s="108"/>
      <c r="I7" s="108"/>
    </row>
    <row r="8" spans="1:9" ht="15">
      <c r="A8" s="108"/>
      <c r="B8" s="108"/>
      <c r="C8" s="108"/>
      <c r="D8" s="108"/>
      <c r="E8" s="108"/>
      <c r="F8" s="108"/>
      <c r="G8" s="108"/>
      <c r="H8" s="108"/>
      <c r="I8" s="108"/>
    </row>
    <row r="9" spans="1:9" ht="15">
      <c r="A9" s="108" t="s">
        <v>258</v>
      </c>
      <c r="B9" s="108"/>
      <c r="C9" s="108"/>
      <c r="D9" s="108"/>
      <c r="E9" s="108"/>
      <c r="F9" s="108"/>
      <c r="G9" s="108" t="s">
        <v>223</v>
      </c>
      <c r="H9" s="108" t="s">
        <v>222</v>
      </c>
      <c r="I9" s="108"/>
    </row>
    <row r="10" spans="1:9" ht="1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5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5">
      <c r="A12" s="108"/>
      <c r="B12" s="108"/>
      <c r="C12" s="108"/>
      <c r="D12" s="108"/>
      <c r="E12" s="108" t="s">
        <v>226</v>
      </c>
      <c r="F12" s="108" t="s">
        <v>259</v>
      </c>
      <c r="G12" s="108"/>
      <c r="H12" s="108"/>
      <c r="I12" s="108"/>
    </row>
    <row r="13" spans="1:9" ht="15">
      <c r="A13" s="108"/>
      <c r="B13" s="108"/>
      <c r="C13" s="108"/>
      <c r="D13" s="108"/>
      <c r="E13" s="108"/>
      <c r="F13" s="108" t="s">
        <v>225</v>
      </c>
      <c r="G13" s="108"/>
      <c r="H13" s="108"/>
      <c r="I13" s="108"/>
    </row>
    <row r="14" spans="1:9" ht="15">
      <c r="A14" s="108"/>
      <c r="B14" s="108"/>
      <c r="C14" s="108"/>
      <c r="D14" s="108"/>
      <c r="E14" s="108"/>
      <c r="F14" s="108" t="s">
        <v>260</v>
      </c>
      <c r="G14" s="108"/>
      <c r="H14" s="108"/>
      <c r="I14" s="108"/>
    </row>
    <row r="15" spans="1:9" ht="15">
      <c r="A15" s="108"/>
      <c r="B15" s="108"/>
      <c r="C15" s="108"/>
      <c r="D15" s="108"/>
      <c r="E15" s="108"/>
      <c r="F15" s="108" t="s">
        <v>261</v>
      </c>
      <c r="G15" s="108"/>
      <c r="H15" s="108"/>
      <c r="I15" s="108"/>
    </row>
    <row r="16" spans="1:9" ht="1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ht="15">
      <c r="A17" s="108" t="s">
        <v>262</v>
      </c>
      <c r="B17" s="108"/>
      <c r="C17" s="108"/>
      <c r="D17" s="108"/>
      <c r="E17" s="108"/>
      <c r="F17" s="108"/>
      <c r="G17" s="108"/>
      <c r="H17" s="108"/>
      <c r="I17" s="108"/>
    </row>
    <row r="18" spans="1:9" ht="15">
      <c r="A18" s="108" t="s">
        <v>263</v>
      </c>
      <c r="B18" s="108"/>
      <c r="C18" s="108"/>
      <c r="D18" s="108"/>
      <c r="E18" s="108"/>
      <c r="F18" s="108"/>
      <c r="G18" s="108"/>
      <c r="H18" s="108"/>
      <c r="I18" s="108"/>
    </row>
    <row r="19" spans="1:9" ht="15">
      <c r="A19" s="108" t="s">
        <v>264</v>
      </c>
      <c r="B19" s="108"/>
      <c r="C19" s="108"/>
      <c r="D19" s="108"/>
      <c r="E19" s="108"/>
      <c r="F19" s="108"/>
      <c r="G19" s="108"/>
      <c r="H19" s="108"/>
      <c r="I19" s="108"/>
    </row>
    <row r="20" spans="1:9" ht="1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ht="15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ht="20.25">
      <c r="A22" s="108"/>
      <c r="B22" s="108"/>
      <c r="C22" s="108"/>
      <c r="D22" s="157" t="s">
        <v>230</v>
      </c>
      <c r="E22" s="108"/>
      <c r="F22" s="108"/>
      <c r="G22" s="108"/>
      <c r="H22" s="108"/>
      <c r="I22" s="108"/>
    </row>
    <row r="23" spans="1:9" ht="15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ht="18">
      <c r="A24" s="108" t="s">
        <v>265</v>
      </c>
      <c r="B24" s="108"/>
      <c r="C24" s="108"/>
      <c r="D24" s="108"/>
      <c r="E24" s="108"/>
      <c r="F24" s="108"/>
      <c r="G24" s="108"/>
      <c r="H24" s="108"/>
      <c r="I24" s="108"/>
    </row>
    <row r="25" spans="1:9" ht="15">
      <c r="A25" s="108" t="s">
        <v>233</v>
      </c>
      <c r="B25" s="108" t="s">
        <v>239</v>
      </c>
      <c r="C25" s="108"/>
      <c r="D25" s="108"/>
      <c r="E25" s="108"/>
      <c r="F25" s="108"/>
      <c r="G25" s="108"/>
      <c r="H25" s="108"/>
      <c r="I25" s="108"/>
    </row>
    <row r="26" spans="1:9" ht="15">
      <c r="A26" s="108"/>
      <c r="B26" s="108" t="s">
        <v>247</v>
      </c>
      <c r="C26" s="108"/>
      <c r="D26" s="108"/>
      <c r="E26" s="108"/>
      <c r="F26" s="108"/>
      <c r="G26" s="108"/>
      <c r="H26" s="108"/>
      <c r="I26" s="108"/>
    </row>
    <row r="27" spans="1:9" ht="15">
      <c r="A27" s="108" t="s">
        <v>232</v>
      </c>
      <c r="B27" s="108" t="s">
        <v>231</v>
      </c>
      <c r="C27" s="108"/>
      <c r="D27" s="108"/>
      <c r="E27" s="108"/>
      <c r="F27" s="108"/>
      <c r="G27" s="108"/>
      <c r="H27" s="108"/>
      <c r="I27" s="108"/>
    </row>
    <row r="28" spans="1:9" ht="15">
      <c r="A28" s="108"/>
      <c r="B28" s="108" t="s">
        <v>234</v>
      </c>
      <c r="C28" s="108"/>
      <c r="D28" s="108"/>
      <c r="E28" s="108"/>
      <c r="F28" s="108"/>
      <c r="G28" s="108"/>
      <c r="H28" s="108"/>
      <c r="I28" s="108"/>
    </row>
    <row r="29" spans="1:9" ht="15">
      <c r="A29" s="108" t="s">
        <v>235</v>
      </c>
      <c r="B29" s="108" t="s">
        <v>236</v>
      </c>
      <c r="C29" s="108"/>
      <c r="D29" s="108"/>
      <c r="E29" s="108"/>
      <c r="F29" s="108"/>
      <c r="G29" s="108"/>
      <c r="H29" s="108"/>
      <c r="I29" s="108"/>
    </row>
    <row r="30" spans="1:9" ht="15">
      <c r="A30" s="108"/>
      <c r="B30" s="108" t="s">
        <v>237</v>
      </c>
      <c r="C30" s="108"/>
      <c r="D30" s="108"/>
      <c r="E30" s="108"/>
      <c r="F30" s="108"/>
      <c r="G30" s="108"/>
      <c r="H30" s="108"/>
      <c r="I30" s="108"/>
    </row>
    <row r="31" spans="1:9" ht="15">
      <c r="A31" s="108" t="s">
        <v>238</v>
      </c>
      <c r="B31" s="108" t="s">
        <v>240</v>
      </c>
      <c r="C31" s="108"/>
      <c r="D31" s="108"/>
      <c r="E31" s="108"/>
      <c r="F31" s="108"/>
      <c r="G31" s="108"/>
      <c r="H31" s="108"/>
      <c r="I31" s="108"/>
    </row>
    <row r="32" spans="1:9" ht="15">
      <c r="A32" s="108"/>
      <c r="B32" s="108" t="s">
        <v>241</v>
      </c>
      <c r="C32" s="108"/>
      <c r="D32" s="108"/>
      <c r="E32" s="108"/>
      <c r="F32" s="108"/>
      <c r="G32" s="108"/>
      <c r="H32" s="108"/>
      <c r="I32" s="108"/>
    </row>
    <row r="33" spans="1:9" ht="15">
      <c r="A33" s="108" t="s">
        <v>242</v>
      </c>
      <c r="B33" s="108" t="s">
        <v>243</v>
      </c>
      <c r="C33" s="108"/>
      <c r="D33" s="108"/>
      <c r="E33" s="108"/>
      <c r="F33" s="108"/>
      <c r="G33" s="108"/>
      <c r="H33" s="108"/>
      <c r="I33" s="108"/>
    </row>
    <row r="34" spans="1:9" ht="15">
      <c r="A34" s="108"/>
      <c r="B34" s="108" t="s">
        <v>244</v>
      </c>
      <c r="C34" s="108"/>
      <c r="D34" s="108"/>
      <c r="E34" s="108"/>
      <c r="F34" s="108"/>
      <c r="G34" s="108"/>
      <c r="H34" s="108"/>
      <c r="I34" s="108"/>
    </row>
    <row r="35" spans="1:9" ht="15">
      <c r="A35" s="108" t="s">
        <v>245</v>
      </c>
      <c r="B35" s="108" t="s">
        <v>246</v>
      </c>
      <c r="C35" s="108"/>
      <c r="D35" s="108"/>
      <c r="E35" s="108"/>
      <c r="F35" s="108"/>
      <c r="G35" s="108"/>
      <c r="H35" s="108"/>
      <c r="I35" s="108"/>
    </row>
    <row r="36" spans="1:9" ht="15">
      <c r="A36" s="108"/>
      <c r="B36" s="108" t="s">
        <v>248</v>
      </c>
      <c r="C36" s="108"/>
      <c r="D36" s="108"/>
      <c r="E36" s="108"/>
      <c r="F36" s="108"/>
      <c r="G36" s="108"/>
      <c r="H36" s="108"/>
      <c r="I36" s="108"/>
    </row>
    <row r="37" spans="1:9" ht="15">
      <c r="A37" s="108"/>
      <c r="B37" s="108" t="s">
        <v>266</v>
      </c>
      <c r="C37" s="108"/>
      <c r="D37" s="108"/>
      <c r="E37" s="108"/>
      <c r="F37" s="108"/>
      <c r="G37" s="108"/>
      <c r="H37" s="108"/>
      <c r="I37" s="108"/>
    </row>
    <row r="38" spans="1:9" ht="15">
      <c r="A38" s="108"/>
      <c r="B38" s="108" t="s">
        <v>267</v>
      </c>
      <c r="C38" s="108"/>
      <c r="D38" s="108"/>
      <c r="E38" s="108"/>
      <c r="F38" s="108"/>
      <c r="G38" s="108"/>
      <c r="H38" s="108"/>
      <c r="I38" s="108"/>
    </row>
    <row r="39" spans="1:9" ht="15">
      <c r="A39" s="108"/>
      <c r="B39" s="108"/>
      <c r="C39" s="108"/>
      <c r="D39" s="108"/>
      <c r="E39" s="108"/>
      <c r="F39" s="108"/>
      <c r="G39" s="108"/>
      <c r="H39" s="108"/>
      <c r="I39" s="108"/>
    </row>
    <row r="40" spans="1:9" ht="18">
      <c r="A40" s="158" t="s">
        <v>249</v>
      </c>
      <c r="B40" s="108" t="s">
        <v>268</v>
      </c>
      <c r="C40" s="108"/>
      <c r="D40" s="108"/>
      <c r="E40" s="108"/>
      <c r="F40" s="108"/>
      <c r="G40" s="108"/>
      <c r="H40" s="108"/>
      <c r="I40" s="108"/>
    </row>
    <row r="41" spans="1:9" ht="18">
      <c r="A41" s="158"/>
      <c r="B41" s="108" t="s">
        <v>269</v>
      </c>
      <c r="C41" s="108"/>
      <c r="D41" s="108"/>
      <c r="E41" s="108"/>
      <c r="F41" s="108"/>
      <c r="G41" s="108"/>
      <c r="H41" s="108"/>
      <c r="I41" s="108"/>
    </row>
    <row r="42" spans="1:9" ht="18">
      <c r="A42" s="158"/>
      <c r="B42" s="108"/>
      <c r="C42" s="108"/>
      <c r="D42" s="108"/>
      <c r="E42" s="108"/>
      <c r="F42" s="108"/>
      <c r="G42" s="108"/>
      <c r="H42" s="108"/>
      <c r="I42" s="108"/>
    </row>
    <row r="43" spans="1:9" ht="18">
      <c r="A43" s="158" t="s">
        <v>252</v>
      </c>
      <c r="B43" s="108" t="s">
        <v>270</v>
      </c>
      <c r="C43" s="108"/>
      <c r="D43" s="108"/>
      <c r="E43" s="108"/>
      <c r="F43" s="108"/>
      <c r="G43" s="108"/>
      <c r="H43" s="108"/>
      <c r="I43" s="108"/>
    </row>
    <row r="44" spans="1:9" ht="18">
      <c r="A44" s="158"/>
      <c r="B44" s="108"/>
      <c r="C44" s="108"/>
      <c r="D44" s="108"/>
      <c r="E44" s="108"/>
      <c r="F44" s="108"/>
      <c r="G44" s="108"/>
      <c r="H44" s="108"/>
      <c r="I44" s="108"/>
    </row>
    <row r="45" spans="1:9" ht="15">
      <c r="A45" s="108"/>
      <c r="B45" s="108" t="s">
        <v>256</v>
      </c>
      <c r="C45" s="108"/>
      <c r="D45" s="108"/>
      <c r="E45" s="108"/>
      <c r="F45" s="108"/>
      <c r="G45" s="108"/>
      <c r="H45" s="108"/>
      <c r="I45" s="108"/>
    </row>
    <row r="46" spans="1:9" ht="15">
      <c r="A46" s="108"/>
      <c r="B46" s="108" t="s">
        <v>257</v>
      </c>
      <c r="C46" s="108"/>
      <c r="D46" s="108"/>
      <c r="E46" s="108"/>
      <c r="F46" s="108"/>
      <c r="G46" s="108"/>
      <c r="H46" s="108"/>
      <c r="I46" s="10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4">
      <selection activeCell="L47" sqref="L47"/>
    </sheetView>
  </sheetViews>
  <sheetFormatPr defaultColWidth="9.00390625" defaultRowHeight="12.75"/>
  <sheetData>
    <row r="1" spans="1:9" ht="15">
      <c r="A1" s="108"/>
      <c r="B1" s="108"/>
      <c r="C1" s="108"/>
      <c r="D1" s="108"/>
      <c r="E1" s="108"/>
      <c r="F1" s="108"/>
      <c r="G1" s="108"/>
      <c r="H1" s="108"/>
      <c r="I1" s="108"/>
    </row>
    <row r="2" spans="1:10" ht="15">
      <c r="A2" s="108"/>
      <c r="B2" s="108"/>
      <c r="C2" s="108"/>
      <c r="D2" s="108"/>
      <c r="E2" s="108"/>
      <c r="F2" s="108"/>
      <c r="G2" s="108"/>
      <c r="H2" s="108"/>
      <c r="I2" s="108"/>
      <c r="J2" s="108" t="s">
        <v>275</v>
      </c>
    </row>
    <row r="3" spans="1:10" ht="15">
      <c r="A3" s="108"/>
      <c r="B3" s="108"/>
      <c r="C3" s="108"/>
      <c r="D3" s="108"/>
      <c r="E3" s="108"/>
      <c r="F3" s="108"/>
      <c r="G3" s="108"/>
      <c r="H3" s="108"/>
      <c r="I3" s="108"/>
      <c r="J3" s="108" t="s">
        <v>275</v>
      </c>
    </row>
    <row r="4" spans="1:9" ht="30">
      <c r="A4" s="108"/>
      <c r="B4" s="152" t="s">
        <v>155</v>
      </c>
      <c r="C4" s="108"/>
      <c r="D4" s="108"/>
      <c r="E4" s="108"/>
      <c r="F4" s="108"/>
      <c r="G4" s="108"/>
      <c r="H4" s="108"/>
      <c r="I4" s="108"/>
    </row>
    <row r="5" spans="1:9" ht="1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5">
      <c r="A6" s="108" t="s">
        <v>156</v>
      </c>
      <c r="B6" s="108"/>
      <c r="C6" s="108"/>
      <c r="D6" s="108"/>
      <c r="E6" s="108"/>
      <c r="F6" s="108"/>
      <c r="G6" s="108"/>
      <c r="H6" s="108"/>
      <c r="I6" s="108"/>
    </row>
    <row r="7" spans="1:9" ht="15">
      <c r="A7" s="108" t="s">
        <v>274</v>
      </c>
      <c r="B7" s="108"/>
      <c r="C7" s="108"/>
      <c r="D7" s="108"/>
      <c r="E7" s="108"/>
      <c r="F7" s="108"/>
      <c r="G7" s="108"/>
      <c r="H7" s="108"/>
      <c r="I7" s="108"/>
    </row>
    <row r="8" spans="1:9" ht="15">
      <c r="A8" s="108" t="s">
        <v>157</v>
      </c>
      <c r="B8" s="108"/>
      <c r="C8" s="108"/>
      <c r="D8" s="108"/>
      <c r="E8" s="108"/>
      <c r="F8" s="108"/>
      <c r="G8" s="108"/>
      <c r="H8" s="108"/>
      <c r="I8" s="108"/>
    </row>
    <row r="9" spans="1:9" ht="15">
      <c r="A9" s="108" t="s">
        <v>158</v>
      </c>
      <c r="B9" s="108"/>
      <c r="C9" s="108"/>
      <c r="D9" s="108"/>
      <c r="E9" s="108"/>
      <c r="F9" s="108"/>
      <c r="G9" s="108"/>
      <c r="H9" s="108"/>
      <c r="I9" s="108"/>
    </row>
    <row r="10" spans="1:9" ht="15">
      <c r="A10" s="108"/>
      <c r="B10" s="153" t="s">
        <v>159</v>
      </c>
      <c r="C10" s="108"/>
      <c r="D10" s="108"/>
      <c r="E10" s="108"/>
      <c r="F10" s="108"/>
      <c r="G10" s="108"/>
      <c r="H10" s="108"/>
      <c r="I10" s="108"/>
    </row>
    <row r="11" spans="1:9" ht="15">
      <c r="A11" s="108"/>
      <c r="B11" s="108" t="s">
        <v>164</v>
      </c>
      <c r="C11" s="108"/>
      <c r="D11" s="108"/>
      <c r="E11" s="108"/>
      <c r="F11" s="108"/>
      <c r="G11" s="108"/>
      <c r="H11" s="108"/>
      <c r="I11" s="108"/>
    </row>
    <row r="12" spans="1:9" ht="15">
      <c r="A12" s="108"/>
      <c r="B12" s="153" t="s">
        <v>160</v>
      </c>
      <c r="C12" s="108"/>
      <c r="D12" s="108"/>
      <c r="E12" s="108"/>
      <c r="F12" s="108"/>
      <c r="G12" s="108"/>
      <c r="H12" s="108"/>
      <c r="I12" s="108"/>
    </row>
    <row r="13" spans="1:9" ht="15">
      <c r="A13" s="108"/>
      <c r="B13" s="108" t="s">
        <v>161</v>
      </c>
      <c r="C13" s="108"/>
      <c r="D13" s="108"/>
      <c r="E13" s="108"/>
      <c r="F13" s="108"/>
      <c r="G13" s="108"/>
      <c r="H13" s="108"/>
      <c r="I13" s="108"/>
    </row>
    <row r="14" spans="1:9" ht="1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15">
      <c r="A15" s="108" t="s">
        <v>162</v>
      </c>
      <c r="B15" s="108"/>
      <c r="C15" s="108"/>
      <c r="D15" s="108"/>
      <c r="E15" s="108"/>
      <c r="F15" s="108"/>
      <c r="G15" s="108"/>
      <c r="H15" s="108"/>
      <c r="I15" s="108"/>
    </row>
    <row r="16" spans="1:9" ht="15">
      <c r="A16" s="108" t="s">
        <v>163</v>
      </c>
      <c r="B16" s="108" t="s">
        <v>165</v>
      </c>
      <c r="C16" s="108"/>
      <c r="D16" s="108"/>
      <c r="E16" s="108"/>
      <c r="F16" s="108"/>
      <c r="G16" s="108"/>
      <c r="H16" s="108"/>
      <c r="I16" s="108"/>
    </row>
    <row r="17" spans="1:9" ht="15">
      <c r="A17" s="108"/>
      <c r="B17" s="108" t="s">
        <v>166</v>
      </c>
      <c r="C17" s="108"/>
      <c r="D17" s="108"/>
      <c r="E17" s="108"/>
      <c r="F17" s="108"/>
      <c r="G17" s="108"/>
      <c r="H17" s="108"/>
      <c r="I17" s="108"/>
    </row>
    <row r="18" spans="1:4" ht="15">
      <c r="A18" s="108"/>
      <c r="B18" s="108" t="s">
        <v>168</v>
      </c>
      <c r="C18" s="108"/>
      <c r="D18" s="108"/>
    </row>
    <row r="19" spans="1:9" ht="15">
      <c r="A19" s="108"/>
      <c r="B19" s="154" t="s">
        <v>167</v>
      </c>
      <c r="C19" s="108"/>
      <c r="D19" s="108"/>
      <c r="E19" s="108"/>
      <c r="F19" s="108"/>
      <c r="G19" s="108"/>
      <c r="H19" s="108"/>
      <c r="I19" s="108"/>
    </row>
    <row r="20" spans="1:9" ht="15">
      <c r="A20" s="108"/>
      <c r="B20" s="108" t="s">
        <v>170</v>
      </c>
      <c r="C20" s="108"/>
      <c r="D20" s="108"/>
      <c r="E20" s="108"/>
      <c r="F20" s="108"/>
      <c r="G20" s="108"/>
      <c r="H20" s="108"/>
      <c r="I20" s="108"/>
    </row>
    <row r="21" spans="1:9" ht="15">
      <c r="A21" s="108"/>
      <c r="B21" s="108" t="s">
        <v>277</v>
      </c>
      <c r="C21" s="108"/>
      <c r="D21" s="108"/>
      <c r="E21" s="108"/>
      <c r="F21" s="108"/>
      <c r="G21" s="108"/>
      <c r="H21" s="108"/>
      <c r="I21" s="108"/>
    </row>
    <row r="22" spans="1:9" ht="15">
      <c r="A22" s="108"/>
      <c r="B22" s="108" t="s">
        <v>276</v>
      </c>
      <c r="C22" s="108"/>
      <c r="D22" s="108"/>
      <c r="E22" s="108"/>
      <c r="F22" s="108"/>
      <c r="G22" s="108"/>
      <c r="H22" s="108"/>
      <c r="I22" s="108"/>
    </row>
    <row r="23" spans="1:9" ht="15">
      <c r="A23" s="108"/>
      <c r="B23" s="108" t="s">
        <v>169</v>
      </c>
      <c r="C23" s="108"/>
      <c r="D23" s="108"/>
      <c r="E23" s="108"/>
      <c r="F23" s="108"/>
      <c r="G23" s="108"/>
      <c r="H23" s="108"/>
      <c r="I23" s="108"/>
    </row>
    <row r="24" spans="1:9" ht="15">
      <c r="A24" s="108"/>
      <c r="B24" s="108" t="s">
        <v>278</v>
      </c>
      <c r="C24" s="108"/>
      <c r="D24" s="108"/>
      <c r="E24" s="108"/>
      <c r="F24" s="108"/>
      <c r="G24" s="108"/>
      <c r="H24" s="108"/>
      <c r="I24" s="108"/>
    </row>
    <row r="25" spans="1:9" ht="15">
      <c r="A25" s="108" t="s">
        <v>173</v>
      </c>
      <c r="B25" s="108"/>
      <c r="C25" s="108"/>
      <c r="D25" s="108"/>
      <c r="E25" s="108"/>
      <c r="F25" s="108"/>
      <c r="G25" s="108"/>
      <c r="H25" s="108"/>
      <c r="I25" s="108"/>
    </row>
    <row r="26" spans="1:9" ht="15">
      <c r="A26" s="108" t="s">
        <v>171</v>
      </c>
      <c r="B26" s="108"/>
      <c r="C26" s="108"/>
      <c r="D26" s="108"/>
      <c r="E26" s="108"/>
      <c r="F26" s="108"/>
      <c r="G26" s="108"/>
      <c r="H26" s="108"/>
      <c r="I26" s="108"/>
    </row>
    <row r="27" spans="1:9" ht="15">
      <c r="A27" s="108" t="s">
        <v>217</v>
      </c>
      <c r="B27" s="108"/>
      <c r="C27" s="108"/>
      <c r="D27" s="108"/>
      <c r="E27" s="108"/>
      <c r="F27" s="108"/>
      <c r="G27" s="108"/>
      <c r="H27" s="108"/>
      <c r="I27" s="108"/>
    </row>
    <row r="28" spans="1:9" ht="15">
      <c r="A28" s="108" t="s">
        <v>172</v>
      </c>
      <c r="B28" s="108"/>
      <c r="C28" s="108"/>
      <c r="D28" s="108"/>
      <c r="E28" s="108"/>
      <c r="F28" s="108"/>
      <c r="G28" s="108"/>
      <c r="H28" s="108"/>
      <c r="I28" s="108"/>
    </row>
    <row r="29" spans="1:9" ht="15">
      <c r="A29" s="108" t="s">
        <v>174</v>
      </c>
      <c r="B29" s="108"/>
      <c r="C29" s="108"/>
      <c r="D29" s="108"/>
      <c r="E29" s="108"/>
      <c r="F29" s="108"/>
      <c r="G29" s="108"/>
      <c r="H29" s="108"/>
      <c r="I29" s="108"/>
    </row>
    <row r="30" spans="1:9" ht="15">
      <c r="A30" s="108"/>
      <c r="B30" s="108"/>
      <c r="C30" s="108"/>
      <c r="D30" s="108"/>
      <c r="E30" s="108"/>
      <c r="F30" s="108"/>
      <c r="G30" s="108"/>
      <c r="H30" s="108"/>
      <c r="I30" s="108"/>
    </row>
    <row r="31" spans="1:9" ht="15">
      <c r="A31" s="108" t="s">
        <v>286</v>
      </c>
      <c r="B31" s="108"/>
      <c r="C31" s="108"/>
      <c r="D31" s="108"/>
      <c r="E31" s="108"/>
      <c r="F31" s="108"/>
      <c r="G31" s="108"/>
      <c r="H31" s="108"/>
      <c r="I31" s="108"/>
    </row>
    <row r="32" spans="1:9" ht="15">
      <c r="A32" s="108" t="s">
        <v>177</v>
      </c>
      <c r="B32" s="108"/>
      <c r="C32" s="108"/>
      <c r="D32" s="108"/>
      <c r="E32" s="108"/>
      <c r="F32" s="108"/>
      <c r="G32" s="108"/>
      <c r="H32" s="108"/>
      <c r="I32" s="108"/>
    </row>
    <row r="33" spans="1:9" ht="15">
      <c r="A33" s="108" t="s">
        <v>287</v>
      </c>
      <c r="B33" s="108"/>
      <c r="C33" s="108"/>
      <c r="D33" s="108"/>
      <c r="E33" s="108"/>
      <c r="F33" s="108"/>
      <c r="G33" s="108"/>
      <c r="H33" s="108"/>
      <c r="I33" s="108"/>
    </row>
    <row r="34" spans="1:9" ht="15">
      <c r="A34" s="108" t="s">
        <v>288</v>
      </c>
      <c r="B34" s="108"/>
      <c r="C34" s="108"/>
      <c r="D34" s="108"/>
      <c r="E34" s="108"/>
      <c r="F34" s="108"/>
      <c r="G34" s="108"/>
      <c r="H34" s="108"/>
      <c r="I34" s="108"/>
    </row>
    <row r="35" spans="1:9" ht="15">
      <c r="A35" s="108" t="s">
        <v>173</v>
      </c>
      <c r="B35" s="108"/>
      <c r="C35" s="108"/>
      <c r="D35" s="108"/>
      <c r="E35" s="108"/>
      <c r="F35" s="108"/>
      <c r="G35" s="108"/>
      <c r="H35" s="108"/>
      <c r="I35" s="108"/>
    </row>
    <row r="36" spans="1:9" ht="15">
      <c r="A36" s="108" t="s">
        <v>175</v>
      </c>
      <c r="B36" s="108"/>
      <c r="C36" s="108"/>
      <c r="D36" s="108"/>
      <c r="E36" s="108"/>
      <c r="F36" s="108"/>
      <c r="G36" s="108"/>
      <c r="H36" s="108"/>
      <c r="I36" s="108"/>
    </row>
    <row r="37" spans="1:9" ht="15">
      <c r="A37" s="108" t="s">
        <v>176</v>
      </c>
      <c r="B37" s="108"/>
      <c r="C37" s="108"/>
      <c r="D37" s="108"/>
      <c r="E37" s="108"/>
      <c r="F37" s="108"/>
      <c r="G37" s="108"/>
      <c r="H37" s="108"/>
      <c r="I37" s="108"/>
    </row>
    <row r="38" spans="1:9" ht="15">
      <c r="A38" s="108" t="s">
        <v>289</v>
      </c>
      <c r="B38" s="108"/>
      <c r="C38" s="108"/>
      <c r="D38" s="108"/>
      <c r="E38" s="108"/>
      <c r="F38" s="108"/>
      <c r="G38" s="108"/>
      <c r="H38" s="108"/>
      <c r="I38" s="108"/>
    </row>
    <row r="39" spans="1:9" ht="15">
      <c r="A39" s="108" t="s">
        <v>290</v>
      </c>
      <c r="B39" s="108"/>
      <c r="C39" s="108"/>
      <c r="D39" s="108"/>
      <c r="E39" s="108"/>
      <c r="F39" s="108"/>
      <c r="G39" s="108"/>
      <c r="H39" s="108"/>
      <c r="I39" s="108"/>
    </row>
    <row r="40" spans="1:9" ht="15">
      <c r="A40" s="108" t="s">
        <v>178</v>
      </c>
      <c r="B40" s="108"/>
      <c r="C40" s="108"/>
      <c r="D40" s="108"/>
      <c r="E40" s="108"/>
      <c r="F40" s="108"/>
      <c r="G40" s="108"/>
      <c r="H40" s="108"/>
      <c r="I40" s="108"/>
    </row>
    <row r="41" spans="1:9" ht="15">
      <c r="A41" s="108" t="s">
        <v>181</v>
      </c>
      <c r="B41" s="108"/>
      <c r="C41" s="108"/>
      <c r="D41" s="108"/>
      <c r="E41" s="108"/>
      <c r="F41" s="108"/>
      <c r="G41" s="108"/>
      <c r="H41" s="108"/>
      <c r="I41" s="108"/>
    </row>
    <row r="42" spans="1:9" ht="15">
      <c r="A42" s="108" t="s">
        <v>179</v>
      </c>
      <c r="B42" s="108"/>
      <c r="C42" s="108"/>
      <c r="D42" s="108"/>
      <c r="E42" s="108"/>
      <c r="F42" s="108"/>
      <c r="G42" s="108"/>
      <c r="H42" s="108"/>
      <c r="I42" s="108"/>
    </row>
    <row r="43" spans="1:9" ht="15">
      <c r="A43" s="108" t="s">
        <v>180</v>
      </c>
      <c r="B43" s="108"/>
      <c r="C43" s="108"/>
      <c r="D43" s="108"/>
      <c r="E43" s="108"/>
      <c r="F43" s="108"/>
      <c r="G43" s="108"/>
      <c r="H43" s="108"/>
      <c r="I43" s="108"/>
    </row>
    <row r="44" spans="1:9" ht="15">
      <c r="A44" s="108" t="s">
        <v>182</v>
      </c>
      <c r="B44" s="108"/>
      <c r="C44" s="108"/>
      <c r="D44" s="108"/>
      <c r="E44" s="108"/>
      <c r="F44" s="108"/>
      <c r="G44" s="108"/>
      <c r="H44" s="108"/>
      <c r="I44" s="108"/>
    </row>
    <row r="45" spans="1:9" ht="15">
      <c r="A45" s="108" t="s">
        <v>279</v>
      </c>
      <c r="B45" s="108"/>
      <c r="C45" s="108"/>
      <c r="D45" s="108"/>
      <c r="E45" s="108"/>
      <c r="F45" s="108"/>
      <c r="G45" s="108"/>
      <c r="H45" s="108"/>
      <c r="I45" s="108"/>
    </row>
    <row r="46" spans="1:9" ht="15">
      <c r="A46" s="108" t="s">
        <v>280</v>
      </c>
      <c r="B46" s="108"/>
      <c r="C46" s="108"/>
      <c r="D46" s="108"/>
      <c r="E46" s="108"/>
      <c r="F46" s="108"/>
      <c r="G46" s="108"/>
      <c r="H46" s="108"/>
      <c r="I46" s="10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Лаборатория ЭВТ ВСОК ВМФ</dc:creator>
  <cp:keywords/>
  <dc:description/>
  <cp:lastModifiedBy>ЛВТ РМ №13</cp:lastModifiedBy>
  <cp:lastPrinted>2001-07-03T11:02:30Z</cp:lastPrinted>
  <dcterms:created xsi:type="dcterms:W3CDTF">2001-06-22T10:31:42Z</dcterms:created>
  <dcterms:modified xsi:type="dcterms:W3CDTF">2001-07-02T05:50:57Z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