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521" windowWidth="19185" windowHeight="4965" tabRatio="612" firstSheet="1" activeTab="1"/>
  </bookViews>
  <sheets>
    <sheet name="Celestial Horizon" sheetId="1" r:id="rId1"/>
    <sheet name="Azimuth,Elevation" sheetId="2" r:id="rId2"/>
    <sheet name="Explanations" sheetId="3" r:id="rId3"/>
    <sheet name="Formulas" sheetId="4" r:id="rId4"/>
    <sheet name="Corrections" sheetId="5" r:id="rId5"/>
    <sheet name="Sun" sheetId="6" r:id="rId6"/>
    <sheet name="Example" sheetId="7" r:id="rId7"/>
    <sheet name="Sunrise" sheetId="8" r:id="rId8"/>
    <sheet name="Converter" sheetId="9" r:id="rId9"/>
  </sheets>
  <definedNames>
    <definedName name="_xlnm.Print_Area" localSheetId="4">'Corrections'!$A$1:$K$30</definedName>
  </definedNames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A5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В полукруговом счете надо указывать знак местного часового угла, в круговом счете местный часовой угол нормально западный</t>
        </r>
      </text>
    </comment>
  </commentList>
</comments>
</file>

<file path=xl/comments5.xml><?xml version="1.0" encoding="utf-8"?>
<comments xmlns="http://schemas.openxmlformats.org/spreadsheetml/2006/main">
  <authors>
    <author>Олег</author>
  </authors>
  <commentList>
    <comment ref="A20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Можно пренебречь при высотах более 10 градусов</t>
        </r>
      </text>
    </comment>
    <comment ref="M13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Отечественный аналог, формула катит для высот от 10 до 90 градусов.
Формула - барахло,
лучше не пользоваться</t>
        </r>
      </text>
    </comment>
    <comment ref="A13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Admiralty
</t>
        </r>
      </text>
    </comment>
    <comment ref="M20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Формула - барахло.
Лучше не пользоваться.</t>
        </r>
      </text>
    </comment>
    <comment ref="M19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Отечественная формула</t>
        </r>
      </text>
    </comment>
    <comment ref="P15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10…90</t>
        </r>
      </text>
    </comment>
    <comment ref="M26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Brown' Nautical Almanac,page 1010, 2006</t>
        </r>
      </text>
    </comment>
  </commentList>
</comments>
</file>

<file path=xl/comments6.xml><?xml version="1.0" encoding="utf-8"?>
<comments xmlns="http://schemas.openxmlformats.org/spreadsheetml/2006/main">
  <authors>
    <author>Олег</author>
  </authors>
  <commentList>
    <comment ref="A6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1 - January
2 - February
and so on</t>
        </r>
      </text>
    </comment>
  </commentList>
</comments>
</file>

<file path=xl/comments7.xml><?xml version="1.0" encoding="utf-8"?>
<comments xmlns="http://schemas.openxmlformats.org/spreadsheetml/2006/main">
  <authors>
    <author>Олег</author>
  </authors>
  <commentList>
    <comment ref="A4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Время берем с GPS  в UTC чтобы не париться с переводом из часовых поясов и не потерять сутки при переводе около 00.00</t>
        </r>
      </text>
    </comment>
    <comment ref="D54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Для каждой высоты она разная. У моего секстана для 30 градусов  +11 секунд.
Переводим в минуты(/60) =+0,18'</t>
        </r>
      </text>
    </comment>
    <comment ref="A13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На самом дел этого этапа можно избежать, если воспользоваться программой МАЕ, которая сразу рассчитывает высоту Солнца и азимут на него. 
А так же много еще чего.</t>
        </r>
      </text>
    </comment>
    <comment ref="A25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Просто прибавим к Гринвичскому часовому углу долготу со своим знаком</t>
        </r>
      </text>
    </comment>
    <comment ref="B28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Можно перевести в "Прикладной часовой угол", который должен быть менее 180 градусов, но может быть как восточным, так и западным. Берется дополнение до 360 градусов с противоположным знаком.
Изврат тут в том, что GHA изначально W-овый, но везде с ним обращаются как с положительным числом. Собственно при переводе в Е-стовый знак тоже не меняется, надругательство над здравым смыслом продолжается.</t>
        </r>
      </text>
    </comment>
    <comment ref="D56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Поправка за высоту глаза наблюдателя е=8,6м (за наклонение):
d=-5,2
</t>
        </r>
      </text>
    </comment>
    <comment ref="A92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Вообще-то проще их снять с карты, но мы умеем и так.</t>
        </r>
      </text>
    </comment>
    <comment ref="A69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Либо на карте крупного масштаба, либо на маневренном планшете, на буржуйских картах можно рисовать на специальных кругах для определения направления, масштаб можно выбрать какой удобно. В этом же масштабе снимем и перенос.</t>
        </r>
      </text>
    </comment>
    <comment ref="H11" authorId="0">
      <text>
        <r>
          <rPr>
            <b/>
            <sz val="8"/>
            <rFont val="Tahoma"/>
            <family val="0"/>
          </rPr>
          <t>Олег:</t>
        </r>
        <r>
          <rPr>
            <sz val="8"/>
            <rFont val="Tahoma"/>
            <family val="0"/>
          </rPr>
          <t xml:space="preserve">
Вообще-то долгот больше 180 градусов не бывает, но пример есть пример(взят из задачника)</t>
        </r>
      </text>
    </comment>
  </commentList>
</comments>
</file>

<file path=xl/sharedStrings.xml><?xml version="1.0" encoding="utf-8"?>
<sst xmlns="http://schemas.openxmlformats.org/spreadsheetml/2006/main" count="421" uniqueCount="302">
  <si>
    <t>Degrees</t>
  </si>
  <si>
    <t>Minutes</t>
  </si>
  <si>
    <t>Secondes</t>
  </si>
  <si>
    <t>SIN</t>
  </si>
  <si>
    <t>COS</t>
  </si>
  <si>
    <t>TAN</t>
  </si>
  <si>
    <t>CTAN</t>
  </si>
  <si>
    <t>=</t>
  </si>
  <si>
    <t>N/S/E/W</t>
  </si>
  <si>
    <t>LHA</t>
  </si>
  <si>
    <t>A</t>
  </si>
  <si>
    <t>B</t>
  </si>
  <si>
    <t>C</t>
  </si>
  <si>
    <t>Latitude</t>
  </si>
  <si>
    <t>Longuitude</t>
  </si>
  <si>
    <t>Declination</t>
  </si>
  <si>
    <t>GHA</t>
  </si>
  <si>
    <t>QUARTER:</t>
  </si>
  <si>
    <t>ANGLE,°</t>
  </si>
  <si>
    <t>ANGLE</t>
  </si>
  <si>
    <t>TRUE AZIMUTH:</t>
  </si>
  <si>
    <t>NAUTICAL TABLES</t>
  </si>
  <si>
    <t>E</t>
  </si>
  <si>
    <t>N</t>
  </si>
  <si>
    <t>Методика определения поправки гирокомпаса по Солнцу.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</si>
  <si>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Засекаем время по UTC , координаты судна и пеленг на Солнце, все одновременно.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</si>
  <si>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Заходим в ежегодный альманах(Nautical Almanach 2005) с временем и широтой, определяем Гринвичский часовой угол [GHA] и солнечное склонение </t>
    </r>
    <r>
      <rPr>
        <sz val="10"/>
        <rFont val="Symbol"/>
        <family val="1"/>
      </rPr>
      <t>¶</t>
    </r>
    <r>
      <rPr>
        <sz val="10"/>
        <rFont val="Times New Roman"/>
        <family val="1"/>
      </rPr>
      <t xml:space="preserve"> [declination]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</si>
  <si>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К гринвичскому часовому углу [GHA] прибавляем долготу в соответствии со знаком  (если E, то прибавляем, если W, то отнимаем) получаем Местный часовой угол [LHA]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</si>
  <si>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Входим в астрономические таблицы (Norrie’s Nautical tables) A, B, C. 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</si>
  <si>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A) входим с широтой и  местным часовым углом, на выходе значение A в градусах. Знак соответствует знаку широты при значении Местного часового угла [LHA] лежащем в пределах 90…270 градусов и противоположен знаку широты при значении Местного часового угла [LHA] лежащем в пределах 0…90 и 270…360 градусов.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</si>
  <si>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B) входим с широтой и солнечным склонением в таблицу B , на выходе значение В в градусах, знак всегда совпадает со знаком солнечного склонение </t>
    </r>
    <r>
      <rPr>
        <sz val="10"/>
        <rFont val="Symbol"/>
        <family val="1"/>
      </rPr>
      <t>¶</t>
    </r>
    <r>
      <rPr>
        <sz val="10"/>
        <rFont val="Times New Roman"/>
        <family val="1"/>
      </rPr>
      <t xml:space="preserve"> [declination]. 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</si>
  <si>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Определяем четверть по знакам «С» и местного часового угла[LHA] по следующему правилу: </t>
    </r>
  </si>
  <si>
    <r>
      <t>11.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 xml:space="preserve">Всего могут быть 4 знака: NE, SE, SW, NW. Запись полученного значения идет по следующему правилу: сначала пишется N  или S, затем полученное значение в градусах, затем E или W. </t>
    </r>
  </si>
  <si>
    <t>Пример1: S48.5°E. Это обозначает, что от S в сторону Е откладывается 48,5 градусов. То есть 180-48,5 = 131,5°.</t>
  </si>
  <si>
    <t>Пример 2: N87°W. От N в сторону W откладываем 87 градусов.</t>
  </si>
  <si>
    <t>3 шт Борискин</t>
  </si>
  <si>
    <t>Explanation of calculations:</t>
  </si>
  <si>
    <t>1. A.</t>
  </si>
  <si>
    <t>2. B</t>
  </si>
  <si>
    <t>3. C</t>
  </si>
  <si>
    <t xml:space="preserve">C =A+B </t>
  </si>
  <si>
    <t>4.Angle</t>
  </si>
  <si>
    <t>5.Azimuth is semi-round depending on quarter of angle</t>
  </si>
  <si>
    <t>α</t>
  </si>
  <si>
    <t>180-α</t>
  </si>
  <si>
    <t>180+α</t>
  </si>
  <si>
    <t>360-α</t>
  </si>
  <si>
    <t>NE</t>
  </si>
  <si>
    <t>NW</t>
  </si>
  <si>
    <t>SE</t>
  </si>
  <si>
    <t>SW</t>
  </si>
  <si>
    <t>То есть 360-87=273°</t>
  </si>
  <si>
    <r>
      <t>sin h</t>
    </r>
    <r>
      <rPr>
        <vertAlign val="subscript"/>
        <sz val="10"/>
        <rFont val="Arial Cyr"/>
        <family val="0"/>
      </rPr>
      <t xml:space="preserve">c </t>
    </r>
    <r>
      <rPr>
        <sz val="10"/>
        <rFont val="Arial"/>
        <family val="0"/>
      </rPr>
      <t>= sin φ</t>
    </r>
    <r>
      <rPr>
        <vertAlign val="subscript"/>
        <sz val="10"/>
        <rFont val="Arial Cyr"/>
        <family val="0"/>
      </rPr>
      <t xml:space="preserve">c </t>
    </r>
    <r>
      <rPr>
        <sz val="10"/>
        <rFont val="Arial"/>
        <family val="0"/>
      </rPr>
      <t>* sinδ + cos φ</t>
    </r>
    <r>
      <rPr>
        <vertAlign val="subscript"/>
        <sz val="10"/>
        <rFont val="Arial Cyr"/>
        <family val="0"/>
      </rPr>
      <t xml:space="preserve">c </t>
    </r>
    <r>
      <rPr>
        <sz val="10"/>
        <rFont val="Arial"/>
        <family val="0"/>
      </rPr>
      <t>* cos δ * cos LHA</t>
    </r>
  </si>
  <si>
    <t>TRUE ELEVATION:</t>
  </si>
  <si>
    <t>Elevation:</t>
  </si>
  <si>
    <t>Enter data for calculation compass error, taking bearings to Sun</t>
  </si>
  <si>
    <t>Algorithm of calculations taken from Norie's Nautical Tables</t>
  </si>
  <si>
    <t>Dip correction(always negative):</t>
  </si>
  <si>
    <t>Height of eye:</t>
  </si>
  <si>
    <t>m</t>
  </si>
  <si>
    <t>Высота глаза наблюдателя</t>
  </si>
  <si>
    <t>Поправка за наклонение горизонта</t>
  </si>
  <si>
    <t>Dip of  Sea horizon:</t>
  </si>
  <si>
    <t>d=1,758*√h</t>
  </si>
  <si>
    <t>Total correction</t>
  </si>
  <si>
    <t>for sextan altitude of the Sun's lower limb</t>
  </si>
  <si>
    <t>C=16'-1,758*√h-(1.002/tan(H+(7,31/(H+4,4))))+0,144*cos H</t>
  </si>
  <si>
    <t>Высота глаза наблюдателя (h)</t>
  </si>
  <si>
    <t>Sextant altitude:</t>
  </si>
  <si>
    <t>No of Month</t>
  </si>
  <si>
    <t>Correction</t>
  </si>
  <si>
    <t>True altitude</t>
  </si>
  <si>
    <t>Высота светила, измеренная секстаном</t>
  </si>
  <si>
    <t xml:space="preserve">Номер месяца в году </t>
  </si>
  <si>
    <t>Поправка</t>
  </si>
  <si>
    <t>Исправленная высота светила</t>
  </si>
  <si>
    <t>Brown's Nautical Almanach</t>
  </si>
  <si>
    <t>Apparent altitude</t>
  </si>
  <si>
    <t>Parallax</t>
  </si>
  <si>
    <t>P=0,144*cos H</t>
  </si>
  <si>
    <t>Поправка за наклонение горизонта:</t>
  </si>
  <si>
    <t>Поправка за параллакс</t>
  </si>
  <si>
    <t>Измеренная высота</t>
  </si>
  <si>
    <t>Mean refraction</t>
  </si>
  <si>
    <t>Поправка за рефракцию</t>
  </si>
  <si>
    <t>Parallax in Altitude of Sun(always positive):</t>
  </si>
  <si>
    <r>
      <t>ρ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=1.002/tan(H+(7,31/(H+4,4)))</t>
    </r>
  </si>
  <si>
    <t>Mean refraction(always negative):</t>
  </si>
  <si>
    <t>2. Change of Radius during Year</t>
  </si>
  <si>
    <t>3. Dip of the sea horizon</t>
  </si>
  <si>
    <t>Includes corrections:</t>
  </si>
  <si>
    <t>1. Sun's Radius</t>
  </si>
  <si>
    <t>4. Mean refraction</t>
  </si>
  <si>
    <t>5. Parallax in altitude</t>
  </si>
  <si>
    <t>Air temperature refraction correction</t>
  </si>
  <si>
    <t>Поправка за температуру</t>
  </si>
  <si>
    <t xml:space="preserve">Air temperature </t>
  </si>
  <si>
    <t>Температура воздуха</t>
  </si>
  <si>
    <t>Определение местоположения судна по Солнцу</t>
  </si>
  <si>
    <t>2.Исправляем высоту поправками секстана I+s</t>
  </si>
  <si>
    <t>на 60 градусов(но не более 120),  берем высоту второй раз, время, координаты.</t>
  </si>
  <si>
    <t>4.Исправляем поправками (Sun) высоту секстана</t>
  </si>
  <si>
    <t>5.вычитаем из нее рассчитанную высоту</t>
  </si>
  <si>
    <t>6.Получаем перенос(intercept), который потом пригодится.</t>
  </si>
  <si>
    <t>7.Через промежуток времени, достаточный для изменения пеленга на Солнце</t>
  </si>
  <si>
    <t>8.Исправляем также поправками секстана</t>
  </si>
  <si>
    <t>9.Рассчитываем для вторых координат азимут и высоту</t>
  </si>
  <si>
    <t>10.Опять исправляем поправками</t>
  </si>
  <si>
    <t>11. Из нее вычитаем вычисленную высоту, получаем второй перенос.</t>
  </si>
  <si>
    <t>12.На карте из второй счислимой точки откладываем оба вычисленных пеленга</t>
  </si>
  <si>
    <t>13. В полученных точках проводим перпендикуляры к своим азимутам. Это - линии положения.</t>
  </si>
  <si>
    <t xml:space="preserve">В пересечении линий положения по-видимому вы  и находитесь, но скорее всего нет.;-) </t>
  </si>
  <si>
    <t>Откладываем на своем азимуте перенос(минута=миле)(минус - в противоположную сторону)</t>
  </si>
  <si>
    <t>Поправки</t>
  </si>
  <si>
    <t>1. Инструментальная и поправка индекса</t>
  </si>
  <si>
    <t>i - поправка индекса</t>
  </si>
  <si>
    <t>Перед началом определений определяете поправку наводя на горизонт и совмещая оба горизонта.</t>
  </si>
  <si>
    <t xml:space="preserve">Потом смотрим на цифры на секстане и с удивлением узнаем, что там не ноль. Эта поправка </t>
  </si>
  <si>
    <t>берется с отрицательным знаком.</t>
  </si>
  <si>
    <t>s - инструментальная поправка секстана, берется из паспорта, она разная для каждой</t>
  </si>
  <si>
    <t>измеренной высоты.</t>
  </si>
  <si>
    <t>1.Берем секстаном высоту Солнца по нижнему лимбу, засекаем время по Гринвичу и координаты.</t>
  </si>
  <si>
    <t>2.За наклонение горизонта. Чем выше над уровнем моря, тем больше поправка, которая</t>
  </si>
  <si>
    <t>всегда отнимается от показаний секстана</t>
  </si>
  <si>
    <t>3. Полудиметр Солнца - координаты считаются для центра Солнца, а измеряем нижний лимб</t>
  </si>
  <si>
    <t>Полудиаметр надо прибавить к измеренной высоте.</t>
  </si>
  <si>
    <t>4. Размер Солнца разный в каждом месяце, поправку надо учесть.</t>
  </si>
  <si>
    <t>5.Рефракция - зависит от измеренной высоты.</t>
  </si>
  <si>
    <t>6. Параллакс - тоже зависит от высоты</t>
  </si>
  <si>
    <t>Иногда 5 и 6 объединяют для уменьшения количества поправок</t>
  </si>
  <si>
    <t>Есть также поправки за температуру и давление, если они отличны от стандартных,</t>
  </si>
  <si>
    <t>но ими можно пренебречь при высотах светила более 10 градусов.</t>
  </si>
  <si>
    <t>Поправки 2-6 объединены все вместе на закладке Sun.</t>
  </si>
  <si>
    <t>OC</t>
  </si>
  <si>
    <t>Отсчет секстана</t>
  </si>
  <si>
    <t>i</t>
  </si>
  <si>
    <t>s</t>
  </si>
  <si>
    <t>поправка индекса</t>
  </si>
  <si>
    <t>инструментальная поправка секстана(из аттестата)</t>
  </si>
  <si>
    <t>h'</t>
  </si>
  <si>
    <t>измеренная высота</t>
  </si>
  <si>
    <t>°</t>
  </si>
  <si>
    <t>'</t>
  </si>
  <si>
    <t>d</t>
  </si>
  <si>
    <t>Поправка за наклонение горизонта(отрицательная)</t>
  </si>
  <si>
    <r>
      <t>h</t>
    </r>
    <r>
      <rPr>
        <b/>
        <vertAlign val="subscript"/>
        <sz val="10"/>
        <rFont val="Arial"/>
        <family val="2"/>
      </rPr>
      <t>в</t>
    </r>
  </si>
  <si>
    <t>Видимая высота(над истинным горизонтом)</t>
  </si>
  <si>
    <t>R</t>
  </si>
  <si>
    <t>ΔR</t>
  </si>
  <si>
    <t>Полудиаметр Солнца</t>
  </si>
  <si>
    <t>Изменение полудиметра в течение года</t>
  </si>
  <si>
    <t>p</t>
  </si>
  <si>
    <r>
      <t>ρ</t>
    </r>
    <r>
      <rPr>
        <vertAlign val="subscript"/>
        <sz val="10"/>
        <rFont val="Arial"/>
        <family val="2"/>
      </rPr>
      <t>0</t>
    </r>
  </si>
  <si>
    <t>Параллакс по высоте</t>
  </si>
  <si>
    <t>Средняя астрономическая рефракция</t>
  </si>
  <si>
    <r>
      <t>Δh</t>
    </r>
    <r>
      <rPr>
        <vertAlign val="subscript"/>
        <sz val="10"/>
        <rFont val="Arial"/>
        <family val="2"/>
      </rPr>
      <t>t</t>
    </r>
  </si>
  <si>
    <r>
      <t>Δh</t>
    </r>
    <r>
      <rPr>
        <vertAlign val="subscript"/>
        <sz val="10"/>
        <rFont val="Arial"/>
        <family val="2"/>
      </rPr>
      <t>v</t>
    </r>
  </si>
  <si>
    <t xml:space="preserve">Поправка за давление </t>
  </si>
  <si>
    <t>h</t>
  </si>
  <si>
    <t>Истинная высота центра светила</t>
  </si>
  <si>
    <t>Исходные данные для определения местоположения судна по Солнцу</t>
  </si>
  <si>
    <t>1 определение</t>
  </si>
  <si>
    <t>Время, UTC</t>
  </si>
  <si>
    <t>Дата</t>
  </si>
  <si>
    <t>Широта</t>
  </si>
  <si>
    <t>Долгота</t>
  </si>
  <si>
    <t>часы</t>
  </si>
  <si>
    <t>мин</t>
  </si>
  <si>
    <t>сек</t>
  </si>
  <si>
    <t>n/s</t>
  </si>
  <si>
    <t>e/w</t>
  </si>
  <si>
    <t>2 определение</t>
  </si>
  <si>
    <t>Пример</t>
  </si>
  <si>
    <t>3.Определяем для координат и времени высоту расчетную и азимут</t>
  </si>
  <si>
    <t>n</t>
  </si>
  <si>
    <t>Расчетная высота центра светила</t>
  </si>
  <si>
    <t>перенос (intercept)</t>
  </si>
  <si>
    <r>
      <t>определим склонение δ и Гринвичский часовой угол t</t>
    </r>
    <r>
      <rPr>
        <vertAlign val="subscript"/>
        <sz val="10"/>
        <rFont val="Times New Roman"/>
        <family val="1"/>
      </rPr>
      <t>гр</t>
    </r>
    <r>
      <rPr>
        <sz val="10"/>
        <rFont val="Times New Roman"/>
        <family val="1"/>
      </rPr>
      <t xml:space="preserve"> Солнца на время определений Т</t>
    </r>
    <r>
      <rPr>
        <vertAlign val="subscript"/>
        <sz val="10"/>
        <rFont val="Times New Roman"/>
        <family val="1"/>
      </rPr>
      <t>гр</t>
    </r>
    <r>
      <rPr>
        <sz val="10"/>
        <rFont val="Times New Roman"/>
        <family val="1"/>
      </rPr>
      <t>.</t>
    </r>
  </si>
  <si>
    <t>Из МАЕ, Nautical Almanach'а или Brown's Nautical Almanach'а</t>
  </si>
  <si>
    <t>Тгр</t>
  </si>
  <si>
    <t>21ч00м00с</t>
  </si>
  <si>
    <t>138˚46,1’</t>
  </si>
  <si>
    <t>01ч00м00с</t>
  </si>
  <si>
    <t>198˚46,6’</t>
  </si>
  <si>
    <t>ΔТгр</t>
  </si>
  <si>
    <t>53м25с</t>
  </si>
  <si>
    <t>+13˚20,4’</t>
  </si>
  <si>
    <t>00м17с</t>
  </si>
  <si>
    <t>+04,2’</t>
  </si>
  <si>
    <t>+01,0’</t>
  </si>
  <si>
    <t>+00,0’</t>
  </si>
  <si>
    <t>152˚07,5’</t>
  </si>
  <si>
    <t>198˚50,8’</t>
  </si>
  <si>
    <r>
      <t>Δt</t>
    </r>
    <r>
      <rPr>
        <vertAlign val="subscript"/>
        <sz val="10"/>
        <rFont val="Times New Roman"/>
        <family val="1"/>
      </rPr>
      <t>2</t>
    </r>
  </si>
  <si>
    <r>
      <t>t</t>
    </r>
    <r>
      <rPr>
        <b/>
        <vertAlign val="subscript"/>
        <sz val="10"/>
        <rFont val="Times New Roman"/>
        <family val="1"/>
      </rPr>
      <t>гр</t>
    </r>
  </si>
  <si>
    <t>Дата+Тгр→Склонение δ</t>
  </si>
  <si>
    <t>10˚13,2’S</t>
  </si>
  <si>
    <t>10˚16,8’S</t>
  </si>
  <si>
    <t>Δt</t>
  </si>
  <si>
    <t xml:space="preserve">+00,8’    </t>
  </si>
  <si>
    <t>δ</t>
  </si>
  <si>
    <t>10˚14,0’S</t>
  </si>
  <si>
    <r>
      <t>Переведем Гринвичский часовой угол t</t>
    </r>
    <r>
      <rPr>
        <vertAlign val="subscript"/>
        <sz val="10"/>
        <rFont val="Times New Roman"/>
        <family val="1"/>
      </rPr>
      <t>гр</t>
    </r>
    <r>
      <rPr>
        <sz val="10"/>
        <rFont val="Times New Roman"/>
        <family val="1"/>
      </rPr>
      <t xml:space="preserve"> Солнца в местный часовой угол t</t>
    </r>
    <r>
      <rPr>
        <vertAlign val="subscript"/>
        <sz val="10"/>
        <rFont val="Times New Roman"/>
        <family val="1"/>
      </rPr>
      <t>м</t>
    </r>
  </si>
  <si>
    <t>+λ(Е)</t>
  </si>
  <si>
    <t>+179˚23,2’</t>
  </si>
  <si>
    <t>+180˚15,2’</t>
  </si>
  <si>
    <t>331˚30,7’</t>
  </si>
  <si>
    <t>379˚06,0’</t>
  </si>
  <si>
    <t>19˚06,0’</t>
  </si>
  <si>
    <r>
      <t>t</t>
    </r>
    <r>
      <rPr>
        <vertAlign val="subscript"/>
        <sz val="10"/>
        <rFont val="Times New Roman"/>
        <family val="1"/>
      </rPr>
      <t>м</t>
    </r>
  </si>
  <si>
    <r>
      <t>t</t>
    </r>
    <r>
      <rPr>
        <vertAlign val="subscript"/>
        <sz val="10"/>
        <rFont val="Times New Roman"/>
        <family val="1"/>
      </rPr>
      <t>Е</t>
    </r>
    <r>
      <rPr>
        <sz val="10"/>
        <rFont val="Times New Roman"/>
        <family val="1"/>
      </rPr>
      <t xml:space="preserve"> =</t>
    </r>
    <r>
      <rPr>
        <b/>
        <sz val="10"/>
        <rFont val="Times New Roman"/>
        <family val="1"/>
      </rPr>
      <t>19˚06,0’E</t>
    </r>
  </si>
  <si>
    <t>Мы получили все данные, которые необходимы для расчета параметров параллактического треугольника:</t>
  </si>
  <si>
    <r>
      <t>φ</t>
    </r>
    <r>
      <rPr>
        <b/>
        <vertAlign val="subscript"/>
        <sz val="9"/>
        <rFont val="Times New Roman"/>
        <family val="1"/>
      </rPr>
      <t>с1</t>
    </r>
    <r>
      <rPr>
        <b/>
        <sz val="9"/>
        <rFont val="Times New Roman"/>
        <family val="1"/>
      </rPr>
      <t xml:space="preserve"> = 44˚ 17,2’ N</t>
    </r>
  </si>
  <si>
    <r>
      <t>φ</t>
    </r>
    <r>
      <rPr>
        <b/>
        <vertAlign val="subscript"/>
        <sz val="9"/>
        <rFont val="Times New Roman"/>
        <family val="1"/>
      </rPr>
      <t>с2</t>
    </r>
    <r>
      <rPr>
        <b/>
        <sz val="9"/>
        <rFont val="Times New Roman"/>
        <family val="1"/>
      </rPr>
      <t xml:space="preserve"> = 44˚ 18,5’ N</t>
    </r>
  </si>
  <si>
    <r>
      <t>δ</t>
    </r>
    <r>
      <rPr>
        <b/>
        <i/>
        <vertAlign val="subscript"/>
        <sz val="9"/>
        <rFont val="Times New Roman"/>
        <family val="1"/>
      </rPr>
      <t>1</t>
    </r>
    <r>
      <rPr>
        <b/>
        <i/>
        <sz val="9"/>
        <rFont val="Times New Roman"/>
        <family val="1"/>
      </rPr>
      <t xml:space="preserve"> = </t>
    </r>
    <r>
      <rPr>
        <b/>
        <sz val="9"/>
        <rFont val="Times New Roman"/>
        <family val="1"/>
      </rPr>
      <t>10˚14,0’S</t>
    </r>
  </si>
  <si>
    <r>
      <t>δ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= 10˚16,8’S</t>
    </r>
    <r>
      <rPr>
        <b/>
        <i/>
        <sz val="9"/>
        <rFont val="Times New Roman"/>
        <family val="1"/>
      </rPr>
      <t xml:space="preserve"> </t>
    </r>
  </si>
  <si>
    <r>
      <t>t</t>
    </r>
    <r>
      <rPr>
        <b/>
        <vertAlign val="subscript"/>
        <sz val="9"/>
        <rFont val="Times New Roman"/>
        <family val="1"/>
      </rPr>
      <t>W</t>
    </r>
    <r>
      <rPr>
        <b/>
        <sz val="9"/>
        <rFont val="Times New Roman"/>
        <family val="1"/>
      </rPr>
      <t xml:space="preserve"> = 28˚29.3’W</t>
    </r>
  </si>
  <si>
    <r>
      <t>t</t>
    </r>
    <r>
      <rPr>
        <b/>
        <vertAlign val="subscript"/>
        <sz val="9"/>
        <rFont val="Times New Roman"/>
        <family val="1"/>
      </rPr>
      <t>Е</t>
    </r>
    <r>
      <rPr>
        <b/>
        <sz val="9"/>
        <rFont val="Times New Roman"/>
        <family val="1"/>
      </rPr>
      <t xml:space="preserve"> = 19˚06,0’E</t>
    </r>
  </si>
  <si>
    <t>Имея эти данные мы можем получить высоту светила и азимут на него  в указанных координатах</t>
  </si>
  <si>
    <t>Можно сделать это с помощью таблиц ВАС, ТВА, и прочих извратов.</t>
  </si>
  <si>
    <t>1.2.1 Расчитаем высоту светила.</t>
  </si>
  <si>
    <r>
      <t>sin h</t>
    </r>
    <r>
      <rPr>
        <vertAlign val="subscript"/>
        <sz val="14"/>
        <color indexed="8"/>
        <rFont val="Arial"/>
        <family val="2"/>
      </rPr>
      <t xml:space="preserve">c </t>
    </r>
    <r>
      <rPr>
        <sz val="14"/>
        <color indexed="8"/>
        <rFont val="Arial"/>
        <family val="2"/>
      </rPr>
      <t>= sin φ</t>
    </r>
    <r>
      <rPr>
        <vertAlign val="subscript"/>
        <sz val="14"/>
        <color indexed="8"/>
        <rFont val="Arial"/>
        <family val="2"/>
      </rPr>
      <t xml:space="preserve">c </t>
    </r>
    <r>
      <rPr>
        <sz val="14"/>
        <color indexed="8"/>
        <rFont val="Arial"/>
        <family val="2"/>
      </rPr>
      <t>* sinδ + cos φ</t>
    </r>
    <r>
      <rPr>
        <vertAlign val="subscript"/>
        <sz val="14"/>
        <color indexed="8"/>
        <rFont val="Arial"/>
        <family val="2"/>
      </rPr>
      <t xml:space="preserve">c </t>
    </r>
    <r>
      <rPr>
        <sz val="14"/>
        <color indexed="8"/>
        <rFont val="Arial"/>
        <family val="2"/>
      </rPr>
      <t>* cos δ * cos t</t>
    </r>
    <r>
      <rPr>
        <vertAlign val="subscript"/>
        <sz val="14"/>
        <color indexed="8"/>
        <rFont val="Arial"/>
        <family val="2"/>
      </rPr>
      <t>м</t>
    </r>
  </si>
  <si>
    <r>
      <t>h</t>
    </r>
    <r>
      <rPr>
        <b/>
        <vertAlign val="subscript"/>
        <sz val="14"/>
        <rFont val="Times New Roman"/>
        <family val="1"/>
      </rPr>
      <t>c1</t>
    </r>
    <r>
      <rPr>
        <b/>
        <sz val="14"/>
        <rFont val="Times New Roman"/>
        <family val="1"/>
      </rPr>
      <t>=29˚40,65’</t>
    </r>
  </si>
  <si>
    <r>
      <t>h</t>
    </r>
    <r>
      <rPr>
        <b/>
        <vertAlign val="subscript"/>
        <sz val="14"/>
        <rFont val="Times New Roman"/>
        <family val="1"/>
      </rPr>
      <t>c2</t>
    </r>
    <r>
      <rPr>
        <b/>
        <sz val="14"/>
        <rFont val="Times New Roman"/>
        <family val="1"/>
      </rPr>
      <t>=32˚43,82’</t>
    </r>
  </si>
  <si>
    <t>1.2.1 Расчитаем азимут светила.</t>
  </si>
  <si>
    <r>
      <t>A</t>
    </r>
    <r>
      <rPr>
        <vertAlign val="subscript"/>
        <sz val="14"/>
        <rFont val="Times New Roman"/>
        <family val="1"/>
      </rPr>
      <t>¼</t>
    </r>
    <r>
      <rPr>
        <sz val="14"/>
        <rFont val="Times New Roman"/>
        <family val="1"/>
      </rPr>
      <t>=22˚30,19’ SE</t>
    </r>
  </si>
  <si>
    <t>1 Определение</t>
  </si>
  <si>
    <t>2 Определение</t>
  </si>
  <si>
    <t>Прокладка в линейном масштабе.</t>
  </si>
  <si>
    <t>С=341˚ 2,9’</t>
  </si>
  <si>
    <t>Δλ=0.9’*sec44˚=1.25’W</t>
  </si>
  <si>
    <t>Δφ=2.7’N</t>
  </si>
  <si>
    <t>φc</t>
  </si>
  <si>
    <t>44˚ 18,5’ N</t>
  </si>
  <si>
    <t>180˚ 15,2’ E</t>
  </si>
  <si>
    <t>Δφ</t>
  </si>
  <si>
    <t>2.7’N</t>
  </si>
  <si>
    <t>Δλ</t>
  </si>
  <si>
    <t>1.25’W</t>
  </si>
  <si>
    <t>44˚ 21,2’ N</t>
  </si>
  <si>
    <t>180˚ 13,95’ E</t>
  </si>
  <si>
    <r>
      <t>λ</t>
    </r>
    <r>
      <rPr>
        <vertAlign val="subscript"/>
        <sz val="8"/>
        <rFont val="Times New Roman"/>
        <family val="1"/>
      </rPr>
      <t>с2</t>
    </r>
  </si>
  <si>
    <r>
      <t>φ</t>
    </r>
    <r>
      <rPr>
        <vertAlign val="subscript"/>
        <sz val="8"/>
        <rFont val="Times New Roman"/>
        <family val="1"/>
      </rPr>
      <t>0</t>
    </r>
  </si>
  <si>
    <r>
      <t>λ</t>
    </r>
    <r>
      <rPr>
        <vertAlign val="subscript"/>
        <sz val="8"/>
        <rFont val="Times New Roman"/>
        <family val="1"/>
      </rPr>
      <t>0</t>
    </r>
  </si>
  <si>
    <t>Расчет координат обсервованной точки.</t>
  </si>
  <si>
    <t>Дата→ Гринвичский часовой угол Тгр</t>
  </si>
  <si>
    <r>
      <t>t</t>
    </r>
    <r>
      <rPr>
        <vertAlign val="subscript"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=</t>
    </r>
    <r>
      <rPr>
        <b/>
        <sz val="10"/>
        <rFont val="Times New Roman"/>
        <family val="1"/>
      </rPr>
      <t>28˚29.3’E</t>
    </r>
  </si>
  <si>
    <t xml:space="preserve">9.     {E или W} 0…180 градусов – W, 180…360 градусов – E. </t>
  </si>
  <si>
    <r>
      <t>10.    {N или S}</t>
    </r>
    <r>
      <rPr>
        <sz val="10"/>
        <rFont val="Times New Roman"/>
        <family val="1"/>
      </rPr>
      <t xml:space="preserve"> знак соответствует полученному знаку из таблицы C.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</si>
  <si>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С) Складываем значение А и В; если они с разными знаками, то они вычитаются, знак соответствует наибольшему значению. С этим значением С и с местным часовым углом [LHA] входим в таблицу С, на выходе – угол 0…90 градусов в четвертной  системе координат</t>
    </r>
  </si>
  <si>
    <r>
      <t>LHA</t>
    </r>
    <r>
      <rPr>
        <vertAlign val="subscript"/>
        <sz val="10"/>
        <rFont val="Arial"/>
        <family val="2"/>
      </rPr>
      <t>½</t>
    </r>
  </si>
  <si>
    <t>w</t>
  </si>
  <si>
    <t>e</t>
  </si>
  <si>
    <r>
      <t>A</t>
    </r>
    <r>
      <rPr>
        <vertAlign val="subscript"/>
        <sz val="14"/>
        <rFont val="Times New Roman"/>
        <family val="1"/>
      </rPr>
      <t>¼</t>
    </r>
    <r>
      <rPr>
        <sz val="14"/>
        <rFont val="Times New Roman"/>
        <family val="1"/>
      </rPr>
      <t>=32˚42,08’ SW</t>
    </r>
  </si>
  <si>
    <r>
      <t>A</t>
    </r>
    <r>
      <rPr>
        <b/>
        <vertAlign val="subscript"/>
        <sz val="14"/>
        <rFont val="Times New Roman"/>
        <family val="1"/>
      </rPr>
      <t>с1</t>
    </r>
    <r>
      <rPr>
        <b/>
        <sz val="14"/>
        <rFont val="Times New Roman"/>
        <family val="1"/>
      </rPr>
      <t>=212,7˚</t>
    </r>
  </si>
  <si>
    <r>
      <t>A</t>
    </r>
    <r>
      <rPr>
        <b/>
        <vertAlign val="subscript"/>
        <sz val="14"/>
        <rFont val="Times New Roman"/>
        <family val="1"/>
      </rPr>
      <t>с2</t>
    </r>
    <r>
      <rPr>
        <b/>
        <sz val="14"/>
        <rFont val="Times New Roman"/>
        <family val="1"/>
      </rPr>
      <t>=157,5˚</t>
    </r>
  </si>
  <si>
    <r>
      <t>ctg A = cos φ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* tg δ / sin </t>
    </r>
    <r>
      <rPr>
        <sz val="10"/>
        <color indexed="8"/>
        <rFont val="Arial"/>
        <family val="2"/>
      </rPr>
      <t>t</t>
    </r>
    <r>
      <rPr>
        <vertAlign val="subscript"/>
        <sz val="10"/>
        <color indexed="8"/>
        <rFont val="Arial"/>
        <family val="2"/>
      </rPr>
      <t>м</t>
    </r>
    <r>
      <rPr>
        <sz val="10"/>
        <rFont val="Arial"/>
        <family val="2"/>
      </rPr>
      <t xml:space="preserve"> - sin φ / tg h</t>
    </r>
    <r>
      <rPr>
        <vertAlign val="subscript"/>
        <sz val="10"/>
        <rFont val="Arial"/>
        <family val="2"/>
      </rPr>
      <t>c</t>
    </r>
  </si>
  <si>
    <t>© Oleg Boriskin 2006</t>
  </si>
  <si>
    <r>
      <t>ρ'=0,97 ctg h</t>
    </r>
    <r>
      <rPr>
        <vertAlign val="subscript"/>
        <sz val="10"/>
        <rFont val="Arial"/>
        <family val="2"/>
      </rPr>
      <t>в</t>
    </r>
  </si>
  <si>
    <r>
      <t>Δρ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=hв-(273/(263+t))*hв</t>
    </r>
  </si>
  <si>
    <t xml:space="preserve">Аберрация - телескопы надо наклонять в сторону движения Земли, ибо скорость движения Земли  </t>
  </si>
  <si>
    <t>сравнима со скоростью света( 30 и 300000 км\с)</t>
  </si>
  <si>
    <t>y''=20,6*sin u</t>
  </si>
  <si>
    <t>Максимальна, когда светило находится перпендикулярно к направлению движения Земли(20,6'')</t>
  </si>
  <si>
    <t>Прецессия(опережение) - Под действием возмущения Солнца и планет ось вращения Земли</t>
  </si>
  <si>
    <t>описывает вокруг эклиптики конусообразную поверхность, двигаясь со средней скоростью около</t>
  </si>
  <si>
    <t>50" в год. Время оборота около 26000 лет. Перемещается положение небесного экватора и точки Овна.</t>
  </si>
  <si>
    <t>Нутация -  под воздействием Луны ось вращения Земли  описывает небольшой эллипс с осями</t>
  </si>
  <si>
    <t>6 и 9 секунд с периодом 18,6 лет.</t>
  </si>
  <si>
    <t>Солнце. Восход и заход. Верхний край. Азимуты.</t>
  </si>
  <si>
    <t>No month</t>
  </si>
  <si>
    <t>¼</t>
  </si>
  <si>
    <t>Sunrise</t>
  </si>
  <si>
    <t>Sunset</t>
  </si>
  <si>
    <t>Sun. Sunrise and Sunset. Upper limb. Azymuths.</t>
  </si>
  <si>
    <t>Azimuth</t>
  </si>
  <si>
    <t>Error:</t>
  </si>
  <si>
    <t>Формула взята из МТ-75 (Олег Борискин)</t>
  </si>
  <si>
    <t>Склонение</t>
  </si>
  <si>
    <t>Месяц в году для определения диаметра Солнца</t>
  </si>
  <si>
    <t>Восход</t>
  </si>
  <si>
    <t>Заход</t>
  </si>
  <si>
    <t>Пеленг</t>
  </si>
  <si>
    <t>Скоростная поправка гирокомпаса</t>
  </si>
  <si>
    <t>Speed gyro error</t>
  </si>
  <si>
    <t>Speed</t>
  </si>
  <si>
    <t>kts</t>
  </si>
  <si>
    <t>Gyro error</t>
  </si>
  <si>
    <t>Latutude</t>
  </si>
  <si>
    <t>Средняя широта</t>
  </si>
  <si>
    <t>Скорость судна</t>
  </si>
  <si>
    <t>Скоростная поправка ГК</t>
  </si>
  <si>
    <t xml:space="preserve"> Гирокомпасный курс судна</t>
  </si>
  <si>
    <t>Истинный курс судна</t>
  </si>
  <si>
    <t>Gyro Course</t>
  </si>
  <si>
    <t>True Course</t>
  </si>
  <si>
    <t>Steaming error</t>
  </si>
  <si>
    <t>ΔGCs=(V*COS COURSE)/(900*COS φ +V*SIN COURSE)</t>
  </si>
  <si>
    <t>ΔGCs=(V*COS COURSE)/(900*COS φ )</t>
  </si>
  <si>
    <t>Первая закладка этого файла содержит формулы для расчетов. Можно и вручную</t>
  </si>
  <si>
    <t>S</t>
  </si>
  <si>
    <t>-отношение средних угловых скоростей Солнца и Луны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</si>
</sst>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\?"/>
    <numFmt numFmtId="187" formatCode="0.000\?"/>
    <numFmt numFmtId="188" formatCode="0.0\?"/>
    <numFmt numFmtId="189" formatCode="0\?"/>
    <numFmt numFmtId="190" formatCode="0\'"/>
    <numFmt numFmtId="191" formatCode="0.0\'"/>
    <numFmt numFmtId="192" formatCode="0.00\'"/>
    <numFmt numFmtId="193" formatCode="0.0000"/>
    <numFmt numFmtId="194" formatCode="0.000"/>
    <numFmt numFmtId="195" formatCode="0.00000"/>
    <numFmt numFmtId="196" formatCode="0\°"/>
    <numFmt numFmtId="197" formatCode="0.0\°"/>
    <numFmt numFmtId="198" formatCode="0.00\°"/>
    <numFmt numFmtId="199" formatCode="0.000\°"/>
    <numFmt numFmtId="200" formatCode="000\°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\°"/>
    <numFmt numFmtId="205" formatCode="0.00000\°"/>
    <numFmt numFmtId="206" formatCode="0.000000\°"/>
    <numFmt numFmtId="207" formatCode="0.0000000\°"/>
    <numFmt numFmtId="208" formatCode="0.0"/>
    <numFmt numFmtId="209" formatCode="\+0.00\'"/>
    <numFmt numFmtId="210" formatCode="\-0.00\'"/>
    <numFmt numFmtId="211" formatCode="0.00\m"/>
    <numFmt numFmtId="212" formatCode="0.00\°\C"/>
    <numFmt numFmtId="213" formatCode="0.000\°\C"/>
    <numFmt numFmtId="214" formatCode="0.0\°\C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0.00\'"/>
    <numFmt numFmtId="220" formatCode="0.00\'\'"/>
    <numFmt numFmtId="221" formatCode="00.00\'\'"/>
    <numFmt numFmtId="222" formatCode="0,\m"/>
    <numFmt numFmtId="223" formatCode="\ \m"/>
    <numFmt numFmtId="224" formatCode="00\m"/>
    <numFmt numFmtId="225" formatCode="00.000\'"/>
    <numFmt numFmtId="226" formatCode="0.000\'"/>
    <numFmt numFmtId="227" formatCode="0\°\C"/>
  </numFmts>
  <fonts count="49">
    <font>
      <sz val="10"/>
      <name val="Arial"/>
      <family val="0"/>
    </font>
    <font>
      <b/>
      <sz val="10"/>
      <name val="Arial Cyr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Symbol"/>
      <family val="1"/>
    </font>
    <font>
      <sz val="12"/>
      <color indexed="8"/>
      <name val="Times New Roman"/>
      <family val="0"/>
    </font>
    <font>
      <u val="single"/>
      <sz val="17.2"/>
      <color indexed="12"/>
      <name val="Arial"/>
      <family val="0"/>
    </font>
    <font>
      <u val="single"/>
      <sz val="17.2"/>
      <color indexed="36"/>
      <name val="Arial"/>
      <family val="0"/>
    </font>
    <font>
      <vertAlign val="subscript"/>
      <sz val="10"/>
      <name val="Arial Cyr"/>
      <family val="0"/>
    </font>
    <font>
      <sz val="4"/>
      <name val="Arial"/>
      <family val="0"/>
    </font>
    <font>
      <u val="single"/>
      <sz val="18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color indexed="22"/>
      <name val="Arial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i/>
      <sz val="9"/>
      <name val="Times New Roman"/>
      <family val="1"/>
    </font>
    <font>
      <b/>
      <i/>
      <vertAlign val="subscript"/>
      <sz val="9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vertAlign val="subscript"/>
      <sz val="14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20"/>
      <name val="Arial"/>
      <family val="0"/>
    </font>
    <font>
      <sz val="10"/>
      <color indexed="22"/>
      <name val="Arial Cyr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" borderId="5" xfId="0" applyFill="1" applyBorder="1" applyAlignment="1" applyProtection="1">
      <alignment/>
      <protection locked="0"/>
    </xf>
    <xf numFmtId="0" fontId="0" fillId="4" borderId="6" xfId="0" applyFill="1" applyBorder="1" applyAlignment="1">
      <alignment/>
    </xf>
    <xf numFmtId="0" fontId="0" fillId="4" borderId="5" xfId="0" applyFill="1" applyBorder="1" applyAlignment="1">
      <alignment/>
    </xf>
    <xf numFmtId="192" fontId="0" fillId="3" borderId="7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8" xfId="0" applyFont="1" applyFill="1" applyBorder="1" applyAlignment="1">
      <alignment/>
    </xf>
    <xf numFmtId="0" fontId="0" fillId="4" borderId="9" xfId="0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2" xfId="0" applyFont="1" applyFill="1" applyBorder="1" applyAlignment="1" applyProtection="1">
      <alignment horizontal="right"/>
      <protection/>
    </xf>
    <xf numFmtId="0" fontId="0" fillId="5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90" fontId="0" fillId="3" borderId="23" xfId="0" applyNumberFormat="1" applyFill="1" applyBorder="1" applyAlignment="1" applyProtection="1">
      <alignment horizontal="center"/>
      <protection locked="0"/>
    </xf>
    <xf numFmtId="196" fontId="0" fillId="3" borderId="6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left"/>
      <protection locked="0"/>
    </xf>
    <xf numFmtId="192" fontId="0" fillId="3" borderId="6" xfId="0" applyNumberFormat="1" applyFill="1" applyBorder="1" applyAlignment="1" applyProtection="1">
      <alignment horizontal="left"/>
      <protection locked="0"/>
    </xf>
    <xf numFmtId="196" fontId="0" fillId="3" borderId="7" xfId="0" applyNumberFormat="1" applyFill="1" applyBorder="1" applyAlignment="1" applyProtection="1">
      <alignment horizontal="right"/>
      <protection locked="0"/>
    </xf>
    <xf numFmtId="200" fontId="0" fillId="3" borderId="6" xfId="0" applyNumberFormat="1" applyFill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2" fontId="15" fillId="4" borderId="26" xfId="0" applyNumberFormat="1" applyFont="1" applyFill="1" applyBorder="1" applyAlignment="1">
      <alignment/>
    </xf>
    <xf numFmtId="0" fontId="15" fillId="0" borderId="26" xfId="0" applyFont="1" applyBorder="1" applyAlignment="1">
      <alignment/>
    </xf>
    <xf numFmtId="192" fontId="15" fillId="4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96" fontId="5" fillId="3" borderId="0" xfId="0" applyNumberFormat="1" applyFont="1" applyFill="1" applyBorder="1" applyAlignment="1" applyProtection="1">
      <alignment/>
      <protection locked="0"/>
    </xf>
    <xf numFmtId="192" fontId="5" fillId="3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22" fillId="0" borderId="0" xfId="0" applyNumberFormat="1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209" fontId="15" fillId="4" borderId="26" xfId="0" applyNumberFormat="1" applyFont="1" applyFill="1" applyBorder="1" applyAlignment="1">
      <alignment/>
    </xf>
    <xf numFmtId="198" fontId="5" fillId="3" borderId="0" xfId="0" applyNumberFormat="1" applyFont="1" applyFill="1" applyBorder="1" applyAlignment="1" applyProtection="1">
      <alignment/>
      <protection locked="0"/>
    </xf>
    <xf numFmtId="0" fontId="17" fillId="0" borderId="13" xfId="0" applyFont="1" applyBorder="1" applyAlignment="1">
      <alignment/>
    </xf>
    <xf numFmtId="0" fontId="0" fillId="0" borderId="24" xfId="0" applyBorder="1" applyAlignment="1">
      <alignment horizontal="center"/>
    </xf>
    <xf numFmtId="210" fontId="15" fillId="4" borderId="26" xfId="0" applyNumberFormat="1" applyFont="1" applyFill="1" applyBorder="1" applyAlignment="1">
      <alignment/>
    </xf>
    <xf numFmtId="211" fontId="5" fillId="3" borderId="0" xfId="0" applyNumberFormat="1" applyFont="1" applyFill="1" applyBorder="1" applyAlignment="1" applyProtection="1">
      <alignment/>
      <protection locked="0"/>
    </xf>
    <xf numFmtId="214" fontId="5" fillId="3" borderId="0" xfId="0" applyNumberFormat="1" applyFont="1" applyFill="1" applyBorder="1" applyAlignment="1" applyProtection="1">
      <alignment/>
      <protection locked="0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 quotePrefix="1">
      <alignment horizontal="center"/>
    </xf>
    <xf numFmtId="0" fontId="0" fillId="0" borderId="6" xfId="0" applyBorder="1" applyAlignment="1">
      <alignment/>
    </xf>
    <xf numFmtId="0" fontId="19" fillId="0" borderId="6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6" xfId="0" applyFont="1" applyFill="1" applyBorder="1" applyAlignment="1">
      <alignment horizontal="left"/>
    </xf>
    <xf numFmtId="0" fontId="25" fillId="0" borderId="6" xfId="0" applyFont="1" applyBorder="1" applyAlignment="1">
      <alignment horizontal="center"/>
    </xf>
    <xf numFmtId="14" fontId="25" fillId="0" borderId="6" xfId="0" applyNumberFormat="1" applyFont="1" applyBorder="1" applyAlignment="1">
      <alignment horizontal="center"/>
    </xf>
    <xf numFmtId="196" fontId="25" fillId="0" borderId="6" xfId="0" applyNumberFormat="1" applyFont="1" applyBorder="1" applyAlignment="1">
      <alignment/>
    </xf>
    <xf numFmtId="192" fontId="25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92" fontId="25" fillId="0" borderId="6" xfId="0" applyNumberFormat="1" applyFont="1" applyBorder="1" applyAlignment="1">
      <alignment/>
    </xf>
    <xf numFmtId="0" fontId="28" fillId="0" borderId="0" xfId="0" applyFont="1" applyAlignment="1">
      <alignment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horizontal="right" wrapText="1"/>
    </xf>
    <xf numFmtId="0" fontId="6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6" fillId="0" borderId="28" xfId="0" applyFont="1" applyBorder="1" applyAlignment="1">
      <alignment horizontal="right" vertical="top" wrapText="1"/>
    </xf>
    <xf numFmtId="0" fontId="26" fillId="0" borderId="28" xfId="0" applyFont="1" applyBorder="1" applyAlignment="1">
      <alignment horizontal="right" wrapText="1"/>
    </xf>
    <xf numFmtId="0" fontId="30" fillId="0" borderId="29" xfId="0" applyFont="1" applyBorder="1" applyAlignment="1">
      <alignment wrapText="1"/>
    </xf>
    <xf numFmtId="0" fontId="30" fillId="0" borderId="28" xfId="0" applyFont="1" applyBorder="1" applyAlignment="1">
      <alignment horizontal="right" wrapText="1"/>
    </xf>
    <xf numFmtId="0" fontId="30" fillId="0" borderId="28" xfId="0" applyFont="1" applyBorder="1" applyAlignment="1">
      <alignment horizontal="right" vertical="top" wrapText="1"/>
    </xf>
    <xf numFmtId="0" fontId="2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wrapText="1"/>
    </xf>
    <xf numFmtId="0" fontId="31" fillId="0" borderId="29" xfId="0" applyFont="1" applyBorder="1" applyAlignment="1">
      <alignment wrapText="1"/>
    </xf>
    <xf numFmtId="0" fontId="39" fillId="0" borderId="0" xfId="0" applyFont="1" applyAlignment="1">
      <alignment/>
    </xf>
    <xf numFmtId="209" fontId="25" fillId="0" borderId="6" xfId="0" applyNumberFormat="1" applyFont="1" applyBorder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0" fillId="3" borderId="12" xfId="0" applyFill="1" applyBorder="1" applyAlignment="1" applyProtection="1">
      <alignment/>
      <protection locked="0"/>
    </xf>
    <xf numFmtId="0" fontId="2" fillId="5" borderId="0" xfId="0" applyFont="1" applyFill="1" applyBorder="1" applyAlignment="1" applyProtection="1">
      <alignment horizontal="right"/>
      <protection/>
    </xf>
    <xf numFmtId="0" fontId="0" fillId="5" borderId="13" xfId="0" applyFill="1" applyBorder="1" applyAlignment="1">
      <alignment/>
    </xf>
    <xf numFmtId="0" fontId="19" fillId="5" borderId="14" xfId="0" applyFont="1" applyFill="1" applyBorder="1" applyAlignment="1">
      <alignment horizontal="center"/>
    </xf>
    <xf numFmtId="196" fontId="0" fillId="5" borderId="0" xfId="0" applyNumberFormat="1" applyFill="1" applyBorder="1" applyAlignment="1" applyProtection="1">
      <alignment horizontal="right"/>
      <protection/>
    </xf>
    <xf numFmtId="192" fontId="0" fillId="5" borderId="0" xfId="0" applyNumberFormat="1" applyFill="1" applyBorder="1" applyAlignment="1" applyProtection="1">
      <alignment horizontal="left"/>
      <protection/>
    </xf>
    <xf numFmtId="49" fontId="0" fillId="5" borderId="0" xfId="0" applyNumberFormat="1" applyFill="1" applyBorder="1" applyAlignment="1">
      <alignment/>
    </xf>
    <xf numFmtId="194" fontId="0" fillId="5" borderId="14" xfId="0" applyNumberFormat="1" applyFill="1" applyBorder="1" applyAlignment="1">
      <alignment/>
    </xf>
    <xf numFmtId="0" fontId="46" fillId="0" borderId="0" xfId="0" applyFont="1" applyAlignment="1">
      <alignment/>
    </xf>
    <xf numFmtId="0" fontId="46" fillId="5" borderId="26" xfId="0" applyFont="1" applyFill="1" applyBorder="1" applyAlignment="1">
      <alignment/>
    </xf>
    <xf numFmtId="196" fontId="46" fillId="5" borderId="26" xfId="0" applyNumberFormat="1" applyFont="1" applyFill="1" applyBorder="1" applyAlignment="1">
      <alignment/>
    </xf>
    <xf numFmtId="204" fontId="0" fillId="3" borderId="27" xfId="0" applyNumberFormat="1" applyFill="1" applyBorder="1" applyAlignment="1" applyProtection="1">
      <alignment horizontal="center"/>
      <protection locked="0"/>
    </xf>
    <xf numFmtId="220" fontId="0" fillId="3" borderId="30" xfId="0" applyNumberFormat="1" applyFill="1" applyBorder="1" applyAlignment="1" applyProtection="1">
      <alignment horizontal="center"/>
      <protection locked="0"/>
    </xf>
    <xf numFmtId="219" fontId="0" fillId="4" borderId="6" xfId="0" applyNumberFormat="1" applyFill="1" applyBorder="1" applyAlignment="1">
      <alignment horizontal="center"/>
    </xf>
    <xf numFmtId="221" fontId="0" fillId="4" borderId="5" xfId="0" applyNumberFormat="1" applyFill="1" applyBorder="1" applyAlignment="1">
      <alignment horizontal="center"/>
    </xf>
    <xf numFmtId="219" fontId="0" fillId="4" borderId="7" xfId="0" applyNumberFormat="1" applyFill="1" applyBorder="1" applyAlignment="1">
      <alignment horizontal="center"/>
    </xf>
    <xf numFmtId="200" fontId="0" fillId="3" borderId="31" xfId="0" applyNumberFormat="1" applyFill="1" applyBorder="1" applyAlignment="1" applyProtection="1">
      <alignment horizontal="center"/>
      <protection locked="0"/>
    </xf>
    <xf numFmtId="200" fontId="0" fillId="4" borderId="6" xfId="0" applyNumberFormat="1" applyFill="1" applyBorder="1" applyAlignment="1">
      <alignment horizontal="center"/>
    </xf>
    <xf numFmtId="200" fontId="0" fillId="4" borderId="7" xfId="0" applyNumberFormat="1" applyFill="1" applyBorder="1" applyAlignment="1">
      <alignment horizontal="center"/>
    </xf>
    <xf numFmtId="200" fontId="0" fillId="3" borderId="27" xfId="0" applyNumberFormat="1" applyFill="1" applyBorder="1" applyAlignment="1" applyProtection="1">
      <alignment horizontal="center"/>
      <protection locked="0"/>
    </xf>
    <xf numFmtId="196" fontId="16" fillId="0" borderId="0" xfId="0" applyNumberFormat="1" applyFont="1" applyAlignment="1">
      <alignment/>
    </xf>
    <xf numFmtId="204" fontId="2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0" fillId="6" borderId="6" xfId="0" applyFill="1" applyBorder="1" applyAlignment="1">
      <alignment/>
    </xf>
    <xf numFmtId="199" fontId="0" fillId="4" borderId="6" xfId="0" applyNumberFormat="1" applyFont="1" applyFill="1" applyBorder="1" applyAlignment="1">
      <alignment/>
    </xf>
    <xf numFmtId="224" fontId="0" fillId="3" borderId="32" xfId="0" applyNumberFormat="1" applyFill="1" applyBorder="1" applyAlignment="1" applyProtection="1">
      <alignment horizontal="right"/>
      <protection locked="0"/>
    </xf>
    <xf numFmtId="192" fontId="0" fillId="3" borderId="33" xfId="0" applyNumberFormat="1" applyFill="1" applyBorder="1" applyAlignment="1" applyProtection="1">
      <alignment horizontal="left"/>
      <protection locked="0"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3" borderId="32" xfId="0" applyNumberFormat="1" applyFill="1" applyBorder="1" applyAlignment="1" applyProtection="1">
      <alignment horizontal="right"/>
      <protection locked="0"/>
    </xf>
    <xf numFmtId="196" fontId="0" fillId="3" borderId="32" xfId="0" applyNumberFormat="1" applyFill="1" applyBorder="1" applyAlignment="1" applyProtection="1">
      <alignment horizontal="right"/>
      <protection locked="0"/>
    </xf>
    <xf numFmtId="198" fontId="0" fillId="3" borderId="36" xfId="0" applyNumberFormat="1" applyFill="1" applyBorder="1" applyAlignment="1" applyProtection="1">
      <alignment horizontal="right"/>
      <protection locked="0"/>
    </xf>
    <xf numFmtId="0" fontId="0" fillId="0" borderId="37" xfId="0" applyNumberFormat="1" applyFill="1" applyBorder="1" applyAlignment="1" applyProtection="1">
      <alignment horizontal="right"/>
      <protection locked="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Border="1" applyAlignment="1">
      <alignment/>
    </xf>
    <xf numFmtId="0" fontId="0" fillId="2" borderId="40" xfId="0" applyFill="1" applyBorder="1" applyAlignment="1" quotePrefix="1">
      <alignment horizontal="center"/>
    </xf>
    <xf numFmtId="0" fontId="0" fillId="3" borderId="41" xfId="0" applyFill="1" applyBorder="1" applyAlignment="1" applyProtection="1">
      <alignment/>
      <protection locked="0"/>
    </xf>
    <xf numFmtId="0" fontId="0" fillId="3" borderId="42" xfId="0" applyFill="1" applyBorder="1" applyAlignment="1" applyProtection="1">
      <alignment/>
      <protection locked="0"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 horizontal="center"/>
    </xf>
    <xf numFmtId="0" fontId="2" fillId="0" borderId="39" xfId="0" applyFont="1" applyBorder="1" applyAlignment="1" applyProtection="1">
      <alignment/>
      <protection locked="0"/>
    </xf>
    <xf numFmtId="226" fontId="2" fillId="0" borderId="0" xfId="0" applyNumberFormat="1" applyFont="1" applyAlignment="1">
      <alignment/>
    </xf>
    <xf numFmtId="0" fontId="5" fillId="0" borderId="2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97" fontId="5" fillId="3" borderId="0" xfId="0" applyNumberFormat="1" applyFont="1" applyFill="1" applyBorder="1" applyAlignment="1" applyProtection="1">
      <alignment/>
      <protection locked="0"/>
    </xf>
    <xf numFmtId="0" fontId="5" fillId="3" borderId="0" xfId="0" applyNumberFormat="1" applyFont="1" applyFill="1" applyBorder="1" applyAlignment="1" applyProtection="1">
      <alignment/>
      <protection locked="0"/>
    </xf>
    <xf numFmtId="198" fontId="15" fillId="4" borderId="0" xfId="0" applyNumberFormat="1" applyFont="1" applyFill="1" applyBorder="1" applyAlignment="1">
      <alignment/>
    </xf>
    <xf numFmtId="198" fontId="15" fillId="4" borderId="26" xfId="0" applyNumberFormat="1" applyFont="1" applyFill="1" applyBorder="1" applyAlignment="1">
      <alignment/>
    </xf>
    <xf numFmtId="199" fontId="0" fillId="3" borderId="27" xfId="0" applyNumberFormat="1" applyFill="1" applyBorder="1" applyAlignment="1" applyProtection="1">
      <alignment horizontal="center"/>
      <protection locked="0"/>
    </xf>
    <xf numFmtId="197" fontId="0" fillId="3" borderId="27" xfId="0" applyNumberFormat="1" applyFill="1" applyBorder="1" applyAlignment="1" applyProtection="1">
      <alignment horizontal="center"/>
      <protection locked="0"/>
    </xf>
    <xf numFmtId="196" fontId="15" fillId="4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196" fontId="46" fillId="5" borderId="16" xfId="18" applyNumberFormat="1" applyFont="1" applyFill="1" applyBorder="1" applyAlignment="1">
      <alignment horizontal="right"/>
      <protection/>
    </xf>
    <xf numFmtId="196" fontId="46" fillId="5" borderId="26" xfId="18" applyNumberFormat="1" applyFont="1" applyFill="1" applyBorder="1" applyAlignment="1">
      <alignment horizontal="right"/>
      <protection/>
    </xf>
    <xf numFmtId="0" fontId="0" fillId="5" borderId="1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204" fontId="4" fillId="4" borderId="45" xfId="0" applyNumberFormat="1" applyFont="1" applyFill="1" applyBorder="1" applyAlignment="1">
      <alignment horizontal="center"/>
    </xf>
    <xf numFmtId="204" fontId="4" fillId="4" borderId="46" xfId="0" applyNumberFormat="1" applyFont="1" applyFill="1" applyBorder="1" applyAlignment="1">
      <alignment horizontal="center"/>
    </xf>
    <xf numFmtId="204" fontId="4" fillId="4" borderId="47" xfId="0" applyNumberFormat="1" applyFont="1" applyFill="1" applyBorder="1" applyAlignment="1">
      <alignment horizontal="center"/>
    </xf>
    <xf numFmtId="219" fontId="46" fillId="5" borderId="26" xfId="0" applyNumberFormat="1" applyFont="1" applyFill="1" applyBorder="1" applyAlignment="1">
      <alignment horizontal="left"/>
    </xf>
    <xf numFmtId="219" fontId="46" fillId="5" borderId="28" xfId="0" applyNumberFormat="1" applyFont="1" applyFill="1" applyBorder="1" applyAlignment="1">
      <alignment horizontal="left"/>
    </xf>
    <xf numFmtId="219" fontId="46" fillId="5" borderId="26" xfId="18" applyNumberFormat="1" applyFont="1" applyFill="1" applyBorder="1" applyAlignment="1">
      <alignment horizontal="left"/>
      <protection/>
    </xf>
    <xf numFmtId="0" fontId="5" fillId="2" borderId="1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28" fillId="0" borderId="48" xfId="0" applyFont="1" applyBorder="1" applyAlignment="1">
      <alignment horizontal="center" wrapText="1"/>
    </xf>
    <xf numFmtId="0" fontId="28" fillId="0" borderId="49" xfId="0" applyFont="1" applyBorder="1" applyAlignment="1">
      <alignment horizontal="center" wrapText="1"/>
    </xf>
    <xf numFmtId="0" fontId="19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25" fontId="16" fillId="0" borderId="0" xfId="0" applyNumberFormat="1" applyFont="1" applyAlignment="1">
      <alignment horizontal="center"/>
    </xf>
    <xf numFmtId="0" fontId="0" fillId="0" borderId="0" xfId="0" applyAlignment="1" quotePrefix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nautical tables" xfId="18"/>
    <cellStyle name="Followed Hyperlink" xfId="19"/>
    <cellStyle name="Percent" xfId="20"/>
    <cellStyle name="Comma" xfId="21"/>
    <cellStyle name="Comma [0]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e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12</xdr:row>
      <xdr:rowOff>104775</xdr:rowOff>
    </xdr:from>
    <xdr:to>
      <xdr:col>4</xdr:col>
      <xdr:colOff>28575</xdr:colOff>
      <xdr:row>17</xdr:row>
      <xdr:rowOff>85725</xdr:rowOff>
    </xdr:to>
    <xdr:grpSp>
      <xdr:nvGrpSpPr>
        <xdr:cNvPr id="1" name="Group 14"/>
        <xdr:cNvGrpSpPr>
          <a:grpSpLocks/>
        </xdr:cNvGrpSpPr>
      </xdr:nvGrpSpPr>
      <xdr:grpSpPr>
        <a:xfrm>
          <a:off x="1190625" y="2047875"/>
          <a:ext cx="1276350" cy="1276350"/>
          <a:chOff x="3312" y="6624"/>
          <a:chExt cx="2016" cy="2016"/>
        </a:xfrm>
        <a:solidFill>
          <a:srgbClr val="FFFFFF"/>
        </a:solidFill>
      </xdr:grpSpPr>
      <xdr:grpSp>
        <xdr:nvGrpSpPr>
          <xdr:cNvPr id="2" name="Group 21"/>
          <xdr:cNvGrpSpPr>
            <a:grpSpLocks/>
          </xdr:cNvGrpSpPr>
        </xdr:nvGrpSpPr>
        <xdr:grpSpPr>
          <a:xfrm>
            <a:off x="3312" y="6624"/>
            <a:ext cx="2016" cy="2016"/>
            <a:chOff x="2592" y="6336"/>
            <a:chExt cx="2016" cy="2016"/>
          </a:xfrm>
          <a:solidFill>
            <a:srgbClr val="FFFFFF"/>
          </a:solidFill>
        </xdr:grpSpPr>
        <xdr:sp>
          <xdr:nvSpPr>
            <xdr:cNvPr id="3" name="AutoShape 26"/>
            <xdr:cNvSpPr>
              <a:spLocks/>
            </xdr:cNvSpPr>
          </xdr:nvSpPr>
          <xdr:spPr>
            <a:xfrm>
              <a:off x="2880" y="6624"/>
              <a:ext cx="1440" cy="144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AutoShape 20"/>
          <xdr:cNvSpPr>
            <a:spLocks/>
          </xdr:cNvSpPr>
        </xdr:nvSpPr>
        <xdr:spPr>
          <a:xfrm>
            <a:off x="4320" y="6912"/>
            <a:ext cx="0" cy="14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9"/>
          <xdr:cNvSpPr>
            <a:spLocks/>
          </xdr:cNvSpPr>
        </xdr:nvSpPr>
        <xdr:spPr>
          <a:xfrm>
            <a:off x="4320" y="7632"/>
            <a:ext cx="576" cy="4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8"/>
          <xdr:cNvSpPr>
            <a:spLocks/>
          </xdr:cNvSpPr>
        </xdr:nvSpPr>
        <xdr:spPr>
          <a:xfrm>
            <a:off x="4320" y="7200"/>
            <a:ext cx="413" cy="668"/>
          </a:xfrm>
          <a:custGeom>
            <a:pathLst>
              <a:path h="668" w="413">
                <a:moveTo>
                  <a:pt x="0" y="0"/>
                </a:moveTo>
                <a:lnTo>
                  <a:pt x="150" y="8"/>
                </a:lnTo>
                <a:lnTo>
                  <a:pt x="323" y="83"/>
                </a:lnTo>
                <a:lnTo>
                  <a:pt x="413" y="233"/>
                </a:lnTo>
                <a:lnTo>
                  <a:pt x="405" y="413"/>
                </a:lnTo>
                <a:lnTo>
                  <a:pt x="315" y="668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7"/>
          <xdr:cNvSpPr>
            <a:spLocks/>
          </xdr:cNvSpPr>
        </xdr:nvSpPr>
        <xdr:spPr>
          <a:xfrm>
            <a:off x="4320" y="7920"/>
            <a:ext cx="432" cy="288"/>
          </a:xfrm>
          <a:custGeom>
            <a:pathLst>
              <a:path h="288" w="432">
                <a:moveTo>
                  <a:pt x="0" y="288"/>
                </a:moveTo>
                <a:lnTo>
                  <a:pt x="203" y="195"/>
                </a:lnTo>
                <a:lnTo>
                  <a:pt x="432" y="0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19</xdr:row>
      <xdr:rowOff>57150</xdr:rowOff>
    </xdr:from>
    <xdr:to>
      <xdr:col>4</xdr:col>
      <xdr:colOff>66675</xdr:colOff>
      <xdr:row>23</xdr:row>
      <xdr:rowOff>85725</xdr:rowOff>
    </xdr:to>
    <xdr:grpSp>
      <xdr:nvGrpSpPr>
        <xdr:cNvPr id="14" name="Group 27"/>
        <xdr:cNvGrpSpPr>
          <a:grpSpLocks/>
        </xdr:cNvGrpSpPr>
      </xdr:nvGrpSpPr>
      <xdr:grpSpPr>
        <a:xfrm>
          <a:off x="1047750" y="3619500"/>
          <a:ext cx="1457325" cy="1276350"/>
          <a:chOff x="2592" y="9216"/>
          <a:chExt cx="2304" cy="2016"/>
        </a:xfrm>
        <a:solidFill>
          <a:srgbClr val="FFFFFF"/>
        </a:solidFill>
      </xdr:grpSpPr>
      <xdr:grpSp>
        <xdr:nvGrpSpPr>
          <xdr:cNvPr id="15" name="Group 28"/>
          <xdr:cNvGrpSpPr>
            <a:grpSpLocks/>
          </xdr:cNvGrpSpPr>
        </xdr:nvGrpSpPr>
        <xdr:grpSpPr>
          <a:xfrm>
            <a:off x="2880" y="9216"/>
            <a:ext cx="2016" cy="2016"/>
            <a:chOff x="2592" y="6336"/>
            <a:chExt cx="2016" cy="2016"/>
          </a:xfrm>
          <a:solidFill>
            <a:srgbClr val="FFFFFF"/>
          </a:solidFill>
        </xdr:grpSpPr>
        <xdr:sp>
          <xdr:nvSpPr>
            <xdr:cNvPr id="16" name="AutoShape 29"/>
            <xdr:cNvSpPr>
              <a:spLocks/>
            </xdr:cNvSpPr>
          </xdr:nvSpPr>
          <xdr:spPr>
            <a:xfrm>
              <a:off x="2880" y="6624"/>
              <a:ext cx="1440" cy="144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" name="AutoShape 34"/>
          <xdr:cNvSpPr>
            <a:spLocks/>
          </xdr:cNvSpPr>
        </xdr:nvSpPr>
        <xdr:spPr>
          <a:xfrm>
            <a:off x="3888" y="9504"/>
            <a:ext cx="0" cy="144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35"/>
          <xdr:cNvSpPr>
            <a:spLocks/>
          </xdr:cNvSpPr>
        </xdr:nvSpPr>
        <xdr:spPr>
          <a:xfrm flipH="1" flipV="1">
            <a:off x="3168" y="10080"/>
            <a:ext cx="72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6"/>
          <xdr:cNvSpPr>
            <a:spLocks/>
          </xdr:cNvSpPr>
        </xdr:nvSpPr>
        <xdr:spPr>
          <a:xfrm>
            <a:off x="3293" y="9648"/>
            <a:ext cx="1215" cy="1222"/>
          </a:xfrm>
          <a:custGeom>
            <a:pathLst>
              <a:path h="1222" w="1215">
                <a:moveTo>
                  <a:pt x="595" y="0"/>
                </a:moveTo>
                <a:lnTo>
                  <a:pt x="857" y="12"/>
                </a:lnTo>
                <a:lnTo>
                  <a:pt x="840" y="20"/>
                </a:lnTo>
                <a:lnTo>
                  <a:pt x="1072" y="155"/>
                </a:lnTo>
                <a:lnTo>
                  <a:pt x="1215" y="425"/>
                </a:lnTo>
                <a:lnTo>
                  <a:pt x="1215" y="687"/>
                </a:lnTo>
                <a:cubicBezTo>
                  <a:pt x="1210" y="768"/>
                  <a:pt x="1191" y="875"/>
                  <a:pt x="1185" y="912"/>
                </a:cubicBezTo>
                <a:cubicBezTo>
                  <a:pt x="1178" y="948"/>
                  <a:pt x="1213" y="882"/>
                  <a:pt x="1177" y="912"/>
                </a:cubicBezTo>
                <a:lnTo>
                  <a:pt x="967" y="1092"/>
                </a:lnTo>
                <a:cubicBezTo>
                  <a:pt x="887" y="1141"/>
                  <a:pt x="780" y="1188"/>
                  <a:pt x="697" y="1205"/>
                </a:cubicBezTo>
                <a:cubicBezTo>
                  <a:pt x="614" y="1222"/>
                  <a:pt x="537" y="1211"/>
                  <a:pt x="465" y="1197"/>
                </a:cubicBezTo>
                <a:lnTo>
                  <a:pt x="262" y="1122"/>
                </a:lnTo>
                <a:cubicBezTo>
                  <a:pt x="196" y="1090"/>
                  <a:pt x="111" y="1052"/>
                  <a:pt x="67" y="1002"/>
                </a:cubicBezTo>
                <a:cubicBezTo>
                  <a:pt x="23" y="952"/>
                  <a:pt x="11" y="912"/>
                  <a:pt x="0" y="822"/>
                </a:cubicBezTo>
                <a:lnTo>
                  <a:pt x="0" y="462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7"/>
          <xdr:cNvSpPr>
            <a:spLocks/>
          </xdr:cNvSpPr>
        </xdr:nvSpPr>
        <xdr:spPr>
          <a:xfrm rot="10800000">
            <a:off x="3312" y="9648"/>
            <a:ext cx="576" cy="432"/>
          </a:xfrm>
          <a:custGeom>
            <a:pathLst>
              <a:path h="288" w="432">
                <a:moveTo>
                  <a:pt x="0" y="288"/>
                </a:moveTo>
                <a:lnTo>
                  <a:pt x="203" y="195"/>
                </a:lnTo>
                <a:lnTo>
                  <a:pt x="432" y="0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69</xdr:row>
      <xdr:rowOff>104775</xdr:rowOff>
    </xdr:from>
    <xdr:to>
      <xdr:col>5</xdr:col>
      <xdr:colOff>495300</xdr:colOff>
      <xdr:row>88</xdr:row>
      <xdr:rowOff>57150</xdr:rowOff>
    </xdr:to>
    <xdr:grpSp>
      <xdr:nvGrpSpPr>
        <xdr:cNvPr id="1" name="Group 35"/>
        <xdr:cNvGrpSpPr>
          <a:grpSpLocks/>
        </xdr:cNvGrpSpPr>
      </xdr:nvGrpSpPr>
      <xdr:grpSpPr>
        <a:xfrm>
          <a:off x="38100" y="12877800"/>
          <a:ext cx="3467100" cy="3028950"/>
          <a:chOff x="2652" y="1386"/>
          <a:chExt cx="5040" cy="4775"/>
        </a:xfrm>
        <a:solidFill>
          <a:srgbClr val="FFFFFF"/>
        </a:solidFill>
      </xdr:grpSpPr>
      <xdr:sp>
        <xdr:nvSpPr>
          <xdr:cNvPr id="2" name="AutoShape 36"/>
          <xdr:cNvSpPr>
            <a:spLocks/>
          </xdr:cNvSpPr>
        </xdr:nvSpPr>
        <xdr:spPr>
          <a:xfrm>
            <a:off x="5118" y="1519"/>
            <a:ext cx="0" cy="311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7"/>
          <xdr:cNvGrpSpPr>
            <a:grpSpLocks/>
          </xdr:cNvGrpSpPr>
        </xdr:nvGrpSpPr>
        <xdr:grpSpPr>
          <a:xfrm>
            <a:off x="4938" y="4458"/>
            <a:ext cx="348" cy="349"/>
            <a:chOff x="4380" y="2466"/>
            <a:chExt cx="348" cy="348"/>
          </a:xfrm>
          <a:solidFill>
            <a:srgbClr val="FFFFFF"/>
          </a:solidFill>
        </xdr:grpSpPr>
        <xdr:sp>
          <xdr:nvSpPr>
            <xdr:cNvPr id="4" name="AutoShape 38"/>
            <xdr:cNvSpPr>
              <a:spLocks/>
            </xdr:cNvSpPr>
          </xdr:nvSpPr>
          <xdr:spPr>
            <a:xfrm>
              <a:off x="4554" y="2466"/>
              <a:ext cx="0" cy="348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39"/>
            <xdr:cNvSpPr>
              <a:spLocks/>
            </xdr:cNvSpPr>
          </xdr:nvSpPr>
          <xdr:spPr>
            <a:xfrm rot="16219870">
              <a:off x="4380" y="2640"/>
              <a:ext cx="348" cy="1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AutoShape 40"/>
          <xdr:cNvSpPr>
            <a:spLocks/>
          </xdr:cNvSpPr>
        </xdr:nvSpPr>
        <xdr:spPr>
          <a:xfrm rot="12720000">
            <a:off x="5566" y="1626"/>
            <a:ext cx="0" cy="45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41"/>
          <xdr:cNvSpPr>
            <a:spLocks/>
          </xdr:cNvSpPr>
        </xdr:nvSpPr>
        <xdr:spPr>
          <a:xfrm rot="9420000">
            <a:off x="4786" y="1593"/>
            <a:ext cx="0" cy="45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" name="Group 42"/>
          <xdr:cNvGrpSpPr>
            <a:grpSpLocks/>
          </xdr:cNvGrpSpPr>
        </xdr:nvGrpSpPr>
        <xdr:grpSpPr>
          <a:xfrm rot="18527376">
            <a:off x="4998" y="1386"/>
            <a:ext cx="228" cy="210"/>
            <a:chOff x="4380" y="2466"/>
            <a:chExt cx="348" cy="348"/>
          </a:xfrm>
          <a:solidFill>
            <a:srgbClr val="FFFFFF"/>
          </a:solidFill>
        </xdr:grpSpPr>
        <xdr:sp>
          <xdr:nvSpPr>
            <xdr:cNvPr id="9" name="AutoShape 43"/>
            <xdr:cNvSpPr>
              <a:spLocks/>
            </xdr:cNvSpPr>
          </xdr:nvSpPr>
          <xdr:spPr>
            <a:xfrm>
              <a:off x="4554" y="2466"/>
              <a:ext cx="0" cy="34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44"/>
            <xdr:cNvSpPr>
              <a:spLocks/>
            </xdr:cNvSpPr>
          </xdr:nvSpPr>
          <xdr:spPr>
            <a:xfrm rot="16219870">
              <a:off x="4380" y="2640"/>
              <a:ext cx="348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" name="AutoShape 47"/>
          <xdr:cNvSpPr>
            <a:spLocks/>
          </xdr:cNvSpPr>
        </xdr:nvSpPr>
        <xdr:spPr>
          <a:xfrm>
            <a:off x="5418" y="4068"/>
            <a:ext cx="54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48"/>
          <xdr:cNvSpPr>
            <a:spLocks/>
          </xdr:cNvSpPr>
        </xdr:nvSpPr>
        <xdr:spPr>
          <a:xfrm>
            <a:off x="5760" y="3522"/>
            <a:ext cx="54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49"/>
          <xdr:cNvSpPr>
            <a:spLocks/>
          </xdr:cNvSpPr>
        </xdr:nvSpPr>
        <xdr:spPr>
          <a:xfrm>
            <a:off x="6102" y="2982"/>
            <a:ext cx="54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50"/>
          <xdr:cNvSpPr>
            <a:spLocks/>
          </xdr:cNvSpPr>
        </xdr:nvSpPr>
        <xdr:spPr>
          <a:xfrm flipV="1">
            <a:off x="4824" y="4013"/>
            <a:ext cx="7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51"/>
          <xdr:cNvSpPr>
            <a:spLocks/>
          </xdr:cNvSpPr>
        </xdr:nvSpPr>
        <xdr:spPr>
          <a:xfrm flipV="1">
            <a:off x="4566" y="3414"/>
            <a:ext cx="78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52"/>
          <xdr:cNvSpPr>
            <a:spLocks/>
          </xdr:cNvSpPr>
        </xdr:nvSpPr>
        <xdr:spPr>
          <a:xfrm flipV="1">
            <a:off x="4320" y="2826"/>
            <a:ext cx="72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53"/>
          <xdr:cNvSpPr>
            <a:spLocks/>
          </xdr:cNvSpPr>
        </xdr:nvSpPr>
        <xdr:spPr>
          <a:xfrm rot="14820000">
            <a:off x="2652" y="2934"/>
            <a:ext cx="3113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54"/>
          <xdr:cNvSpPr>
            <a:spLocks/>
          </xdr:cNvSpPr>
        </xdr:nvSpPr>
        <xdr:spPr>
          <a:xfrm rot="18120000">
            <a:off x="4104" y="3571"/>
            <a:ext cx="3113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55"/>
          <xdr:cNvSpPr>
            <a:spLocks/>
          </xdr:cNvSpPr>
        </xdr:nvSpPr>
        <xdr:spPr>
          <a:xfrm>
            <a:off x="4332" y="2682"/>
            <a:ext cx="284" cy="28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56"/>
          <xdr:cNvSpPr>
            <a:spLocks/>
          </xdr:cNvSpPr>
        </xdr:nvSpPr>
        <xdr:spPr>
          <a:xfrm>
            <a:off x="4403" y="2753"/>
            <a:ext cx="142" cy="14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="150" zoomScaleNormal="150" workbookViewId="0" topLeftCell="A1">
      <selection activeCell="C15" sqref="C15"/>
    </sheetView>
  </sheetViews>
  <sheetFormatPr defaultColWidth="9.140625" defaultRowHeight="12.75"/>
  <cols>
    <col min="1" max="1" width="14.7109375" style="0" customWidth="1"/>
    <col min="2" max="2" width="7.28125" style="0" customWidth="1"/>
    <col min="4" max="4" width="10.28125" style="0" bestFit="1" customWidth="1"/>
    <col min="5" max="5" width="12.28125" style="0" customWidth="1"/>
  </cols>
  <sheetData>
    <row r="1" spans="1:10" ht="23.25">
      <c r="A1" s="189" t="s">
        <v>21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0" ht="13.5" thickBot="1">
      <c r="A2" s="186"/>
      <c r="B2" s="187"/>
      <c r="C2" s="187"/>
      <c r="D2" s="187"/>
      <c r="E2" s="187"/>
      <c r="F2" s="187"/>
      <c r="G2" s="187"/>
      <c r="H2" s="187"/>
      <c r="I2" s="187"/>
      <c r="J2" s="188"/>
    </row>
    <row r="3" spans="1:10" ht="12.75">
      <c r="A3" s="3"/>
      <c r="B3" s="20" t="s">
        <v>0</v>
      </c>
      <c r="C3" s="20" t="s">
        <v>1</v>
      </c>
      <c r="D3" s="4" t="s">
        <v>8</v>
      </c>
      <c r="E3" s="26"/>
      <c r="F3" s="19" t="s">
        <v>9</v>
      </c>
      <c r="G3" s="19" t="s">
        <v>10</v>
      </c>
      <c r="H3" s="19" t="s">
        <v>11</v>
      </c>
      <c r="I3" s="19" t="s">
        <v>12</v>
      </c>
      <c r="J3" s="24" t="s">
        <v>19</v>
      </c>
    </row>
    <row r="4" spans="1:11" ht="12.75">
      <c r="A4" s="1" t="s">
        <v>13</v>
      </c>
      <c r="B4" s="46">
        <v>44</v>
      </c>
      <c r="C4" s="47">
        <v>18.5</v>
      </c>
      <c r="D4" s="8" t="s">
        <v>174</v>
      </c>
      <c r="E4" s="27">
        <f>C4/60+B4</f>
        <v>44.30833333333333</v>
      </c>
      <c r="F4" s="17">
        <f>IF(E8&lt;0,E8+360,IF(E8&gt;360,E8-360,E8))</f>
        <v>200.1</v>
      </c>
      <c r="G4" s="9">
        <f>ABS((TAN(E4*PI()/180))/TAN(E8*PI()/180))</f>
        <v>2.6674364337961047</v>
      </c>
      <c r="H4" s="9">
        <f>ABS(TAN(E6*PI()/180)/SIN(E8*PI()/180))</f>
        <v>0.5277611301336437</v>
      </c>
      <c r="I4" s="9">
        <f>IF(G5=H5,G4+H4,IF(G4&gt;H4,G4-H4,IF(H4&gt;G4,H4-G4,"ERROR")))</f>
        <v>2.139675303662461</v>
      </c>
      <c r="J4" s="10">
        <f>ABS(ATAN(1/(COS(E4*PI()/180)*(I4)))/PI()*180)</f>
        <v>33.149005275085834</v>
      </c>
      <c r="K4" s="78">
        <f>IF(D4="N",1,IF(D4="n",1,IF(D4="S",-1,IF(D4="s",-1,"?"))))</f>
        <v>1</v>
      </c>
    </row>
    <row r="5" spans="1:11" ht="15.75">
      <c r="A5" s="1" t="s">
        <v>250</v>
      </c>
      <c r="B5" s="50">
        <v>200</v>
      </c>
      <c r="C5" s="47">
        <v>6</v>
      </c>
      <c r="D5" s="8" t="s">
        <v>251</v>
      </c>
      <c r="E5" s="27">
        <f>C5/60+B5</f>
        <v>200.1</v>
      </c>
      <c r="F5" s="26"/>
      <c r="G5" s="17" t="str">
        <f>IF(F4&lt;=90,D7,IF(F4&lt;=270,D4,IF(F4&lt;=360,D7,"ERROR")))</f>
        <v>n</v>
      </c>
      <c r="H5" s="17" t="str">
        <f>D6</f>
        <v>s</v>
      </c>
      <c r="I5" s="17" t="str">
        <f>IF(G5=H5,G5,IF(G4&gt;H4,G5,H5))</f>
        <v>n</v>
      </c>
      <c r="J5" s="29"/>
      <c r="K5" s="78">
        <f>IF(D5="E",1,IF(D5="e",1,IF(D5="W",-1,IF(D5="w",-1,"?"))))</f>
        <v>-1</v>
      </c>
    </row>
    <row r="6" spans="1:11" ht="13.5" thickBot="1">
      <c r="A6" s="2" t="s">
        <v>15</v>
      </c>
      <c r="B6" s="49">
        <v>10</v>
      </c>
      <c r="C6" s="11">
        <v>16.8</v>
      </c>
      <c r="D6" s="125" t="s">
        <v>136</v>
      </c>
      <c r="E6" s="27">
        <f>C6/60+B6</f>
        <v>10.28</v>
      </c>
      <c r="F6" s="26"/>
      <c r="G6" s="14" t="s">
        <v>17</v>
      </c>
      <c r="H6" s="15" t="str">
        <f>I5</f>
        <v>n</v>
      </c>
      <c r="I6" s="16" t="str">
        <f>IF(F4&lt;=180,"W",IF(F4&lt;=360,"E","ERROR"))</f>
        <v>E</v>
      </c>
      <c r="J6" s="128">
        <f>IF(H6="?","?",IF(H6="N",IF(I6="E",1,4),IF(I6="E",2,3)))</f>
        <v>1</v>
      </c>
      <c r="K6" s="78">
        <f>IF(D6="N",1,IF(D6="n",1,IF(D6="S",-1,IF(D6="s",-1,"?"))))</f>
        <v>-1</v>
      </c>
    </row>
    <row r="7" spans="1:10" ht="13.5" thickBot="1">
      <c r="A7" s="127"/>
      <c r="B7" s="129"/>
      <c r="C7" s="130"/>
      <c r="D7" s="126" t="str">
        <f>IF(D4="N","S",IF(D4="S","N","ERROR"))</f>
        <v>S</v>
      </c>
      <c r="E7" s="27">
        <f>C7/60+B7</f>
        <v>0</v>
      </c>
      <c r="F7" s="26"/>
      <c r="G7" s="26"/>
      <c r="H7" s="26"/>
      <c r="I7" s="26"/>
      <c r="J7" s="29"/>
    </row>
    <row r="8" spans="1:10" ht="12.75">
      <c r="A8" s="192" t="s">
        <v>53</v>
      </c>
      <c r="B8" s="193"/>
      <c r="C8" s="194"/>
      <c r="D8" s="26"/>
      <c r="E8" s="27">
        <f>IF(D5="E",-E5,IF(D5="W",E5,"ERROR!"))</f>
        <v>200.1</v>
      </c>
      <c r="F8" s="26"/>
      <c r="G8" s="26"/>
      <c r="H8" s="201" t="s">
        <v>20</v>
      </c>
      <c r="I8" s="202"/>
      <c r="J8" s="203"/>
    </row>
    <row r="9" spans="1:10" ht="12.75">
      <c r="A9" s="192"/>
      <c r="B9" s="193"/>
      <c r="C9" s="194"/>
      <c r="D9" s="26"/>
      <c r="E9" s="27">
        <f>DEGREES(ASIN(SIN(RADIANS(E4*K4))*SIN(RADIANS(E6*K6))+COS(RADIANS(E4*K4))*COS(RADIANS(E6*K6))*COS(RADIANS(F4))))</f>
        <v>-51.80185937620281</v>
      </c>
      <c r="F9" s="26"/>
      <c r="G9" s="26"/>
      <c r="H9" s="192"/>
      <c r="I9" s="193"/>
      <c r="J9" s="194"/>
    </row>
    <row r="10" spans="1:10" ht="33.75" thickBot="1">
      <c r="A10" s="195">
        <f>(E9)</f>
        <v>-51.80185937620281</v>
      </c>
      <c r="B10" s="196"/>
      <c r="C10" s="197"/>
      <c r="D10" s="26"/>
      <c r="E10" s="26"/>
      <c r="F10" s="26"/>
      <c r="G10" s="26"/>
      <c r="H10" s="195">
        <f>IF(H6="N",IF(I6="E",J4,360-J4),IF(I6="E",180-J4,180+J4))</f>
        <v>33.149005275085834</v>
      </c>
      <c r="I10" s="196"/>
      <c r="J10" s="197"/>
    </row>
    <row r="11" spans="1:10" ht="12.75">
      <c r="A11" s="127"/>
      <c r="B11" s="131"/>
      <c r="C11" s="131"/>
      <c r="D11" s="26"/>
      <c r="E11" s="26"/>
      <c r="F11" s="26"/>
      <c r="G11" s="26"/>
      <c r="H11" s="26"/>
      <c r="I11" s="26"/>
      <c r="J11" s="132"/>
    </row>
    <row r="12" spans="1:10" s="133" customFormat="1" ht="26.25" thickBot="1">
      <c r="A12" s="184">
        <f>IF(A10&lt;0,-INT(ABS(A10)),INT(ABS(A10)))</f>
        <v>-51</v>
      </c>
      <c r="B12" s="185"/>
      <c r="C12" s="200">
        <f>(ABS(A10-A12))*60</f>
        <v>48.11156257216879</v>
      </c>
      <c r="D12" s="200"/>
      <c r="E12" s="134"/>
      <c r="F12" s="134"/>
      <c r="G12" s="134"/>
      <c r="H12" s="135">
        <f>INT(H10)</f>
        <v>33</v>
      </c>
      <c r="I12" s="198">
        <f>(H10-H12)*60</f>
        <v>8.940316505150037</v>
      </c>
      <c r="J12" s="199"/>
    </row>
    <row r="13" spans="1:3" ht="12.75">
      <c r="A13" s="55" t="s">
        <v>56</v>
      </c>
      <c r="B13" s="6"/>
      <c r="C13" s="6" t="s">
        <v>257</v>
      </c>
    </row>
    <row r="14" ht="12.75">
      <c r="A14" s="54"/>
    </row>
    <row r="15" ht="12.75">
      <c r="A15" s="54"/>
    </row>
    <row r="16" ht="12.75">
      <c r="B16" s="5"/>
    </row>
  </sheetData>
  <sheetProtection sheet="1" objects="1" scenarios="1"/>
  <mergeCells count="9">
    <mergeCell ref="A12:B12"/>
    <mergeCell ref="A2:J2"/>
    <mergeCell ref="A1:J1"/>
    <mergeCell ref="A8:C9"/>
    <mergeCell ref="A10:C10"/>
    <mergeCell ref="I12:J12"/>
    <mergeCell ref="C12:D12"/>
    <mergeCell ref="H10:J10"/>
    <mergeCell ref="H8:J9"/>
  </mergeCells>
  <conditionalFormatting sqref="G5">
    <cfRule type="cellIs" priority="1" dxfId="0" operator="between" stopIfTrue="1">
      <formula>90</formula>
      <formula>270</formula>
    </cfRule>
  </conditionalFormatting>
  <printOptions/>
  <pageMargins left="0.75" right="0.75" top="1" bottom="1" header="0.5" footer="0.5"/>
  <pageSetup horizontalDpi="300" verticalDpi="300" orientation="portrait" paperSize="9" r:id="rId3"/>
  <ignoredErrors>
    <ignoredError sqref="K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50" zoomScaleNormal="150" workbookViewId="0" topLeftCell="A1">
      <selection activeCell="E17" sqref="E17"/>
    </sheetView>
  </sheetViews>
  <sheetFormatPr defaultColWidth="9.140625" defaultRowHeight="12.75"/>
  <cols>
    <col min="1" max="1" width="14.7109375" style="0" customWidth="1"/>
    <col min="2" max="2" width="7.28125" style="0" customWidth="1"/>
    <col min="4" max="4" width="10.28125" style="0" bestFit="1" customWidth="1"/>
    <col min="5" max="5" width="12.28125" style="0" customWidth="1"/>
    <col min="8" max="8" width="10.00390625" style="0" bestFit="1" customWidth="1"/>
  </cols>
  <sheetData>
    <row r="1" spans="1:10" ht="23.25">
      <c r="A1" s="189" t="s">
        <v>21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0" ht="13.5" thickBot="1">
      <c r="A2" s="186" t="s">
        <v>55</v>
      </c>
      <c r="B2" s="187"/>
      <c r="C2" s="187"/>
      <c r="D2" s="187"/>
      <c r="E2" s="187"/>
      <c r="F2" s="187"/>
      <c r="G2" s="187"/>
      <c r="H2" s="187"/>
      <c r="I2" s="187"/>
      <c r="J2" s="188"/>
    </row>
    <row r="3" spans="1:10" ht="12.75">
      <c r="A3" s="3"/>
      <c r="B3" s="20" t="s">
        <v>0</v>
      </c>
      <c r="C3" s="20" t="s">
        <v>1</v>
      </c>
      <c r="D3" s="4" t="s">
        <v>8</v>
      </c>
      <c r="E3" s="26"/>
      <c r="F3" s="19" t="s">
        <v>9</v>
      </c>
      <c r="G3" s="19" t="s">
        <v>10</v>
      </c>
      <c r="H3" s="19" t="s">
        <v>11</v>
      </c>
      <c r="I3" s="19" t="s">
        <v>12</v>
      </c>
      <c r="J3" s="24" t="s">
        <v>19</v>
      </c>
    </row>
    <row r="4" spans="1:11" ht="12.75">
      <c r="A4" s="1" t="s">
        <v>13</v>
      </c>
      <c r="B4" s="46">
        <v>1</v>
      </c>
      <c r="C4" s="47">
        <v>13.65</v>
      </c>
      <c r="D4" s="8" t="s">
        <v>23</v>
      </c>
      <c r="E4" s="27">
        <f>C4/60+B4</f>
        <v>1.2275</v>
      </c>
      <c r="F4" s="9">
        <f>IF(E8&lt;0,E8+360,IF(E8&gt;360,E8-360,E8))</f>
        <v>299.7425</v>
      </c>
      <c r="G4" s="9">
        <f>ABS((TAN(E4*PI()/180))/TAN(E8*PI()/180))</f>
        <v>0.01224293007270932</v>
      </c>
      <c r="H4" s="9">
        <f>ABS(TAN(E6*PI()/180)/SIN(E8*PI()/180))</f>
        <v>0.30096770145734153</v>
      </c>
      <c r="I4" s="9">
        <f>IF(G5=H5,G4+H4,IF(G4&gt;H4,G4-H4,IF(H4&gt;G4,H4-G4,"ERROR")))</f>
        <v>0.31321063153005085</v>
      </c>
      <c r="J4" s="10">
        <f>ABS(ATAN(1/(COS(E4*PI()/180)*(I4)))/PI()*180)</f>
        <v>72.61263951532432</v>
      </c>
      <c r="K4" s="78">
        <f>IF(D4="N",1,IF(D4="n",1,IF(D4="S",-1,IF(D4="s",-1,"?"))))</f>
        <v>1</v>
      </c>
    </row>
    <row r="5" spans="1:11" ht="12.75">
      <c r="A5" s="1" t="s">
        <v>14</v>
      </c>
      <c r="B5" s="50">
        <v>103</v>
      </c>
      <c r="C5" s="47">
        <v>38.35</v>
      </c>
      <c r="D5" s="8" t="s">
        <v>22</v>
      </c>
      <c r="E5" s="27">
        <f>C5/60+B5</f>
        <v>103.63916666666667</v>
      </c>
      <c r="F5" s="26"/>
      <c r="G5" s="17" t="str">
        <f>IF(F4&lt;=90,D8,IF(F4&lt;=270,D4,IF(F4&lt;=360,D8,"ERROR")))</f>
        <v>S</v>
      </c>
      <c r="H5" s="17" t="str">
        <f>D6</f>
        <v>S</v>
      </c>
      <c r="I5" s="17" t="str">
        <f>IF(G5=H5,G5,IF(G4&gt;H4,G5,H5))</f>
        <v>S</v>
      </c>
      <c r="J5" s="29"/>
      <c r="K5" s="78">
        <f>IF(D5="E",1,IF(D5="e",1,IF(D5="W",-1,IF(D5="w",-1,"?"))))</f>
        <v>1</v>
      </c>
    </row>
    <row r="6" spans="1:11" ht="12.75">
      <c r="A6" s="1" t="s">
        <v>15</v>
      </c>
      <c r="B6" s="46">
        <v>14</v>
      </c>
      <c r="C6" s="48">
        <v>38.7</v>
      </c>
      <c r="D6" s="8" t="s">
        <v>300</v>
      </c>
      <c r="E6" s="27">
        <f>C6/60+B6</f>
        <v>14.645</v>
      </c>
      <c r="F6" s="26"/>
      <c r="G6" s="14" t="s">
        <v>17</v>
      </c>
      <c r="H6" s="15" t="str">
        <f>I5</f>
        <v>S</v>
      </c>
      <c r="I6" s="16" t="str">
        <f>IF(F4&lt;=180,"W",IF(F4&lt;=360,"E","ERROR"))</f>
        <v>E</v>
      </c>
      <c r="J6" s="128">
        <f>IF(H6="?","?",IF(H6="N",IF(I6="E",1,4),IF(I6="E",2,3)))</f>
        <v>2</v>
      </c>
      <c r="K6" s="78">
        <f>IF(D6="N",1,IF(D6="n",1,IF(D6="S",-1,IF(D6="s",-1,"?"))))</f>
        <v>-1</v>
      </c>
    </row>
    <row r="7" spans="1:10" ht="13.5" thickBot="1">
      <c r="A7" s="2" t="s">
        <v>16</v>
      </c>
      <c r="B7" s="49">
        <v>196</v>
      </c>
      <c r="C7" s="11">
        <v>6.2</v>
      </c>
      <c r="D7" s="28"/>
      <c r="E7" s="27">
        <f>C7/60+B7</f>
        <v>196.10333333333332</v>
      </c>
      <c r="F7" s="26"/>
      <c r="G7" s="26"/>
      <c r="H7" s="26"/>
      <c r="I7" s="26"/>
      <c r="J7" s="29"/>
    </row>
    <row r="8" spans="1:10" ht="13.5" thickBot="1">
      <c r="A8" s="192" t="s">
        <v>53</v>
      </c>
      <c r="B8" s="193"/>
      <c r="C8" s="194"/>
      <c r="D8" s="28" t="str">
        <f>IF(D4="N","S",IF(D4="S","N","ERROR"))</f>
        <v>S</v>
      </c>
      <c r="E8" s="27">
        <f>IF(D5="E",E7+E5,IF(D5="W",E7-E5,"ERROR!"))</f>
        <v>299.7425</v>
      </c>
      <c r="F8" s="26"/>
      <c r="G8" s="26"/>
      <c r="H8" s="201" t="s">
        <v>20</v>
      </c>
      <c r="I8" s="202"/>
      <c r="J8" s="203"/>
    </row>
    <row r="9" spans="1:10" ht="12.75">
      <c r="A9" s="192"/>
      <c r="B9" s="193"/>
      <c r="C9" s="194"/>
      <c r="D9" s="26"/>
      <c r="E9" s="27">
        <f>DEGREES(ASIN(SIN(RADIANS(E4*K4))*SIN(RADIANS(E6*K6))+COS(RADIANS(E4*K4))*COS(RADIANS(E6*K6))*COS(RADIANS(F4))))</f>
        <v>28.32410456939048</v>
      </c>
      <c r="F9" s="26"/>
      <c r="G9" s="26"/>
      <c r="H9" s="192"/>
      <c r="I9" s="193"/>
      <c r="J9" s="194"/>
    </row>
    <row r="10" spans="1:10" ht="33.75" thickBot="1">
      <c r="A10" s="195">
        <f>(E9)</f>
        <v>28.32410456939048</v>
      </c>
      <c r="B10" s="196"/>
      <c r="C10" s="197"/>
      <c r="D10" s="26"/>
      <c r="E10" s="26"/>
      <c r="F10" s="26"/>
      <c r="G10" s="26"/>
      <c r="H10" s="195">
        <f>IF(H6="N",IF(I6="E",J4,360-J4),IF(I6="E",180-J4,180+J4))</f>
        <v>107.38736048467568</v>
      </c>
      <c r="I10" s="196"/>
      <c r="J10" s="197"/>
    </row>
    <row r="11" spans="1:10" ht="12.75">
      <c r="A11" s="127"/>
      <c r="B11" s="131"/>
      <c r="C11" s="131"/>
      <c r="D11" s="26"/>
      <c r="E11" s="26"/>
      <c r="F11" s="26"/>
      <c r="G11" s="26"/>
      <c r="H11" s="26"/>
      <c r="I11" s="26"/>
      <c r="J11" s="132"/>
    </row>
    <row r="12" spans="1:10" s="54" customFormat="1" ht="26.25" thickBot="1">
      <c r="A12" s="184">
        <f>IF(A10&lt;0,-INT(ABS(A10)),INT(ABS(A10)))</f>
        <v>28</v>
      </c>
      <c r="B12" s="185"/>
      <c r="C12" s="200">
        <f>(ABS(A10-A12))*60</f>
        <v>19.446274163428896</v>
      </c>
      <c r="D12" s="200"/>
      <c r="E12" s="134"/>
      <c r="F12" s="134"/>
      <c r="G12" s="134"/>
      <c r="H12" s="135">
        <f>INT(H10)</f>
        <v>107</v>
      </c>
      <c r="I12" s="198">
        <f>(H10-H12)*60</f>
        <v>23.241629080540918</v>
      </c>
      <c r="J12" s="199"/>
    </row>
    <row r="13" spans="1:3" ht="12.75">
      <c r="A13" s="55" t="s">
        <v>56</v>
      </c>
      <c r="B13" s="6"/>
      <c r="C13" s="6" t="s">
        <v>257</v>
      </c>
    </row>
    <row r="14" ht="12.75">
      <c r="A14" s="54"/>
    </row>
    <row r="15" ht="12.75">
      <c r="A15" s="54"/>
    </row>
    <row r="16" spans="2:5" ht="12.75">
      <c r="B16" s="5"/>
      <c r="D16">
        <v>13.368267</v>
      </c>
      <c r="E16" s="221" t="s">
        <v>301</v>
      </c>
    </row>
  </sheetData>
  <sheetProtection password="C4AF" sheet="1" objects="1" scenarios="1"/>
  <mergeCells count="9">
    <mergeCell ref="A12:B12"/>
    <mergeCell ref="A2:J2"/>
    <mergeCell ref="A1:J1"/>
    <mergeCell ref="A8:C9"/>
    <mergeCell ref="A10:C10"/>
    <mergeCell ref="C12:D12"/>
    <mergeCell ref="I12:J12"/>
    <mergeCell ref="H10:J10"/>
    <mergeCell ref="H8:J9"/>
  </mergeCells>
  <conditionalFormatting sqref="G5">
    <cfRule type="cellIs" priority="1" dxfId="0" operator="between" stopIfTrue="1">
      <formula>90</formula>
      <formula>270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K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1">
      <selection activeCell="O15" sqref="O15"/>
    </sheetView>
  </sheetViews>
  <sheetFormatPr defaultColWidth="9.140625" defaultRowHeight="12.75"/>
  <sheetData>
    <row r="1" ht="12.75">
      <c r="A1" s="51" t="s">
        <v>24</v>
      </c>
    </row>
    <row r="2" ht="12.75">
      <c r="A2" s="52" t="s">
        <v>25</v>
      </c>
    </row>
    <row r="3" ht="12.75">
      <c r="A3" s="52" t="s">
        <v>26</v>
      </c>
    </row>
    <row r="4" ht="12.75">
      <c r="A4" s="52" t="s">
        <v>27</v>
      </c>
    </row>
    <row r="5" ht="12.75">
      <c r="A5" s="52" t="s">
        <v>28</v>
      </c>
    </row>
    <row r="6" ht="12.75">
      <c r="A6" s="52" t="s">
        <v>29</v>
      </c>
    </row>
    <row r="7" ht="12.75">
      <c r="A7" s="52" t="s">
        <v>30</v>
      </c>
    </row>
    <row r="8" ht="12.75">
      <c r="A8" s="52" t="s">
        <v>249</v>
      </c>
    </row>
    <row r="9" ht="12.75">
      <c r="A9" s="52" t="s">
        <v>31</v>
      </c>
    </row>
    <row r="10" ht="12.75">
      <c r="A10" s="52" t="s">
        <v>247</v>
      </c>
    </row>
    <row r="11" ht="12.75">
      <c r="A11" s="52" t="s">
        <v>248</v>
      </c>
    </row>
    <row r="12" ht="12.75">
      <c r="A12" s="52" t="s">
        <v>32</v>
      </c>
    </row>
    <row r="15" ht="51" customHeight="1"/>
    <row r="19" ht="12.75">
      <c r="A19" s="51" t="s">
        <v>33</v>
      </c>
    </row>
    <row r="20" ht="12.75">
      <c r="A20" s="51"/>
    </row>
    <row r="21" ht="60" customHeight="1">
      <c r="A21" s="51"/>
    </row>
    <row r="22" ht="12.75">
      <c r="A22" s="51"/>
    </row>
    <row r="23" ht="12.75">
      <c r="A23" s="51"/>
    </row>
    <row r="24" ht="12.75">
      <c r="A24" s="51"/>
    </row>
    <row r="25" ht="12.75">
      <c r="A25" s="51"/>
    </row>
    <row r="26" spans="1:7" ht="12.75">
      <c r="A26" s="51" t="s">
        <v>34</v>
      </c>
      <c r="G26" t="s">
        <v>51</v>
      </c>
    </row>
    <row r="27" ht="12.75">
      <c r="A27" s="54"/>
    </row>
    <row r="28" ht="15.75">
      <c r="A28" s="54" t="s">
        <v>52</v>
      </c>
    </row>
    <row r="29" ht="12.75">
      <c r="A29" s="51"/>
    </row>
    <row r="31" ht="12.75">
      <c r="A31" t="s">
        <v>98</v>
      </c>
    </row>
    <row r="32" ht="12.75">
      <c r="A32" t="s">
        <v>121</v>
      </c>
    </row>
    <row r="33" ht="12.75">
      <c r="A33" t="s">
        <v>99</v>
      </c>
    </row>
    <row r="34" ht="12.75">
      <c r="A34" t="s">
        <v>173</v>
      </c>
    </row>
    <row r="35" ht="12.75">
      <c r="A35" t="s">
        <v>101</v>
      </c>
    </row>
    <row r="36" ht="12.75">
      <c r="A36" t="s">
        <v>102</v>
      </c>
    </row>
    <row r="37" ht="12.75">
      <c r="A37" t="s">
        <v>103</v>
      </c>
    </row>
    <row r="38" ht="12.75">
      <c r="A38" t="s">
        <v>104</v>
      </c>
    </row>
    <row r="39" ht="12.75">
      <c r="A39" t="s">
        <v>100</v>
      </c>
    </row>
    <row r="40" ht="12.75">
      <c r="A40" t="s">
        <v>105</v>
      </c>
    </row>
    <row r="41" ht="12.75">
      <c r="A41" t="s">
        <v>106</v>
      </c>
    </row>
    <row r="42" ht="12.75">
      <c r="A42" t="s">
        <v>107</v>
      </c>
    </row>
    <row r="43" ht="12.75">
      <c r="A43" t="s">
        <v>108</v>
      </c>
    </row>
    <row r="44" ht="12.75">
      <c r="A44" t="s">
        <v>109</v>
      </c>
    </row>
    <row r="45" ht="12.75">
      <c r="A45" t="s">
        <v>112</v>
      </c>
    </row>
    <row r="46" ht="12.75">
      <c r="A46" t="s">
        <v>110</v>
      </c>
    </row>
    <row r="47" ht="12.75">
      <c r="A47" t="s">
        <v>111</v>
      </c>
    </row>
    <row r="49" ht="12.75">
      <c r="A49" t="s">
        <v>113</v>
      </c>
    </row>
    <row r="50" ht="12.75">
      <c r="A50" t="s">
        <v>114</v>
      </c>
    </row>
    <row r="51" ht="12.75">
      <c r="A51" t="s">
        <v>115</v>
      </c>
    </row>
    <row r="52" ht="12.75">
      <c r="A52" t="s">
        <v>116</v>
      </c>
    </row>
    <row r="53" ht="12.75">
      <c r="A53" t="s">
        <v>117</v>
      </c>
    </row>
    <row r="54" ht="12.75">
      <c r="A54" t="s">
        <v>118</v>
      </c>
    </row>
    <row r="55" ht="12.75">
      <c r="A55" t="s">
        <v>119</v>
      </c>
    </row>
    <row r="56" ht="12.75">
      <c r="A56" t="s">
        <v>120</v>
      </c>
    </row>
    <row r="57" ht="12.75">
      <c r="A57" t="s">
        <v>122</v>
      </c>
    </row>
    <row r="58" ht="12.75">
      <c r="A58" t="s">
        <v>123</v>
      </c>
    </row>
    <row r="59" ht="12.75">
      <c r="A59" t="s">
        <v>124</v>
      </c>
    </row>
    <row r="60" ht="12.75">
      <c r="A60" t="s">
        <v>125</v>
      </c>
    </row>
    <row r="61" ht="12.75">
      <c r="A61" t="s">
        <v>126</v>
      </c>
    </row>
    <row r="62" ht="12.75">
      <c r="A62" t="s">
        <v>127</v>
      </c>
    </row>
    <row r="63" ht="12.75">
      <c r="A63" t="s">
        <v>128</v>
      </c>
    </row>
    <row r="64" ht="12.75">
      <c r="A64" t="s">
        <v>129</v>
      </c>
    </row>
    <row r="65" ht="12.75">
      <c r="A65" t="s">
        <v>130</v>
      </c>
    </row>
    <row r="66" ht="12.75">
      <c r="A66" t="s">
        <v>131</v>
      </c>
    </row>
    <row r="67" ht="12.75">
      <c r="A67" t="s">
        <v>132</v>
      </c>
    </row>
    <row r="69" ht="12.75">
      <c r="A69" s="51" t="s">
        <v>35</v>
      </c>
    </row>
    <row r="70" ht="12.75">
      <c r="A70" s="51"/>
    </row>
    <row r="72" ht="12.75">
      <c r="A72" t="s">
        <v>260</v>
      </c>
    </row>
    <row r="73" spans="1:6" ht="12.75">
      <c r="A73" t="s">
        <v>261</v>
      </c>
      <c r="F73" t="s">
        <v>262</v>
      </c>
    </row>
    <row r="74" ht="12.75">
      <c r="A74" t="s">
        <v>263</v>
      </c>
    </row>
    <row r="75" ht="12.75">
      <c r="A75" t="s">
        <v>264</v>
      </c>
    </row>
    <row r="76" ht="12.75">
      <c r="A76" t="s">
        <v>265</v>
      </c>
    </row>
    <row r="77" ht="12.75">
      <c r="A77" t="s">
        <v>266</v>
      </c>
    </row>
    <row r="78" ht="12.75">
      <c r="A78" t="s">
        <v>267</v>
      </c>
    </row>
    <row r="79" ht="12.75">
      <c r="A79" t="s">
        <v>268</v>
      </c>
    </row>
  </sheetData>
  <sheetProtection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E43" sqref="E43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7" ht="12.75">
      <c r="A7" t="s">
        <v>38</v>
      </c>
    </row>
    <row r="12" ht="12.75">
      <c r="A12" t="s">
        <v>39</v>
      </c>
    </row>
    <row r="13" ht="12.75">
      <c r="B13" t="s">
        <v>40</v>
      </c>
    </row>
    <row r="15" ht="12.75">
      <c r="A15" t="s">
        <v>41</v>
      </c>
    </row>
    <row r="19" ht="12.75">
      <c r="A19" t="s">
        <v>42</v>
      </c>
    </row>
    <row r="20" spans="1:2" s="53" customFormat="1" ht="12.75">
      <c r="A20" s="53" t="s">
        <v>47</v>
      </c>
      <c r="B20" s="53" t="s">
        <v>43</v>
      </c>
    </row>
    <row r="21" spans="1:2" s="53" customFormat="1" ht="12.75">
      <c r="A21" s="53" t="s">
        <v>49</v>
      </c>
      <c r="B21" s="53" t="s">
        <v>44</v>
      </c>
    </row>
    <row r="22" spans="1:2" s="53" customFormat="1" ht="12.75">
      <c r="A22" s="53" t="s">
        <v>50</v>
      </c>
      <c r="B22" s="53" t="s">
        <v>45</v>
      </c>
    </row>
    <row r="23" spans="1:2" s="53" customFormat="1" ht="12.75">
      <c r="A23" s="53" t="s">
        <v>48</v>
      </c>
      <c r="B23" s="53" t="s">
        <v>46</v>
      </c>
    </row>
    <row r="24" ht="12.75">
      <c r="B24" s="54"/>
    </row>
    <row r="25" spans="1:2" ht="15.75">
      <c r="A25" s="53" t="s">
        <v>54</v>
      </c>
      <c r="B25" s="54" t="s">
        <v>52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5"/>
  <legacyDrawing r:id="rId4"/>
  <oleObjects>
    <oleObject progId="Equation.3" shapeId="16213120" r:id="rId1"/>
    <oleObject progId="Equation.3" shapeId="16225474" r:id="rId2"/>
    <oleObject progId="Equation.3" shapeId="16290712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W33"/>
  <sheetViews>
    <sheetView zoomScale="90" zoomScaleNormal="90" workbookViewId="0" topLeftCell="A2">
      <selection activeCell="D31" sqref="D31"/>
    </sheetView>
  </sheetViews>
  <sheetFormatPr defaultColWidth="9.140625" defaultRowHeight="12.75"/>
  <cols>
    <col min="4" max="4" width="15.28125" style="0" customWidth="1"/>
    <col min="6" max="6" width="10.00390625" style="0" customWidth="1"/>
    <col min="13" max="13" width="11.57421875" style="0" bestFit="1" customWidth="1"/>
    <col min="16" max="16" width="16.57421875" style="0" customWidth="1"/>
  </cols>
  <sheetData>
    <row r="1" spans="1:12" ht="26.25">
      <c r="A1" s="61" t="s">
        <v>57</v>
      </c>
      <c r="B1" s="62"/>
      <c r="C1" s="62"/>
      <c r="D1" s="62"/>
      <c r="E1" s="62"/>
      <c r="F1" s="62"/>
      <c r="G1" s="62"/>
      <c r="H1" s="62"/>
      <c r="I1" s="62"/>
      <c r="J1" s="62" t="s">
        <v>63</v>
      </c>
      <c r="K1" s="63"/>
      <c r="L1" s="54"/>
    </row>
    <row r="2" spans="1:12" ht="26.25">
      <c r="A2" s="82" t="s">
        <v>80</v>
      </c>
      <c r="B2" s="54"/>
      <c r="C2" s="54"/>
      <c r="D2" s="54"/>
      <c r="E2" s="54"/>
      <c r="F2" s="54"/>
      <c r="G2" s="54"/>
      <c r="H2" s="54"/>
      <c r="I2" s="54"/>
      <c r="J2" s="54"/>
      <c r="K2" s="68"/>
      <c r="L2" s="54"/>
    </row>
    <row r="3" spans="1:12" s="56" customFormat="1" ht="20.25">
      <c r="A3" s="206" t="s">
        <v>58</v>
      </c>
      <c r="B3" s="207"/>
      <c r="C3" s="207"/>
      <c r="D3" s="85">
        <v>50</v>
      </c>
      <c r="E3" s="65"/>
      <c r="F3" s="65" t="s">
        <v>60</v>
      </c>
      <c r="G3" s="65"/>
      <c r="H3" s="65"/>
      <c r="I3" s="65"/>
      <c r="J3" s="65"/>
      <c r="K3" s="66"/>
      <c r="L3" s="65"/>
    </row>
    <row r="4" spans="1:12" ht="12.75">
      <c r="A4" s="67"/>
      <c r="B4" s="54"/>
      <c r="C4" s="54"/>
      <c r="D4" s="54"/>
      <c r="E4" s="54"/>
      <c r="F4" s="54"/>
      <c r="G4" s="54"/>
      <c r="H4" s="54"/>
      <c r="I4" s="54"/>
      <c r="J4" s="54"/>
      <c r="K4" s="68"/>
      <c r="L4" s="54"/>
    </row>
    <row r="5" spans="1:12" s="57" customFormat="1" ht="24" thickBot="1">
      <c r="A5" s="204" t="s">
        <v>62</v>
      </c>
      <c r="B5" s="205"/>
      <c r="C5" s="205"/>
      <c r="D5" s="69">
        <f>-SQRT(D3)*1.758</f>
        <v>-12.430937213259506</v>
      </c>
      <c r="E5" s="70"/>
      <c r="F5" s="210" t="s">
        <v>61</v>
      </c>
      <c r="G5" s="210"/>
      <c r="H5" s="210"/>
      <c r="I5" s="210"/>
      <c r="J5" s="210"/>
      <c r="K5" s="211"/>
      <c r="L5" s="72"/>
    </row>
    <row r="6" ht="13.5" thickBot="1"/>
    <row r="7" spans="1:11" ht="26.25">
      <c r="A7" s="61" t="s">
        <v>85</v>
      </c>
      <c r="B7" s="62"/>
      <c r="C7" s="62"/>
      <c r="D7" s="62"/>
      <c r="E7" s="62"/>
      <c r="F7" s="62"/>
      <c r="G7" s="62"/>
      <c r="H7" s="62"/>
      <c r="I7" s="62"/>
      <c r="J7" s="62" t="s">
        <v>79</v>
      </c>
      <c r="K7" s="63"/>
    </row>
    <row r="8" spans="1:11" ht="26.25">
      <c r="A8" s="82" t="s">
        <v>81</v>
      </c>
      <c r="B8" s="54"/>
      <c r="C8" s="54"/>
      <c r="D8" s="54"/>
      <c r="E8" s="54"/>
      <c r="F8" s="54"/>
      <c r="G8" s="54"/>
      <c r="H8" s="54"/>
      <c r="I8" s="54"/>
      <c r="J8" s="54"/>
      <c r="K8" s="68"/>
    </row>
    <row r="9" spans="1:12" s="56" customFormat="1" ht="20.25">
      <c r="A9" s="206" t="s">
        <v>77</v>
      </c>
      <c r="B9" s="207"/>
      <c r="C9" s="207"/>
      <c r="D9" s="81">
        <v>0</v>
      </c>
      <c r="E9" s="65"/>
      <c r="F9" s="65" t="s">
        <v>82</v>
      </c>
      <c r="G9" s="65"/>
      <c r="H9" s="65"/>
      <c r="I9" s="65"/>
      <c r="J9" s="65"/>
      <c r="K9" s="66"/>
      <c r="L9" s="65"/>
    </row>
    <row r="10" spans="1:12" ht="12.75">
      <c r="A10" s="67"/>
      <c r="B10" s="54"/>
      <c r="C10" s="54"/>
      <c r="D10" s="54"/>
      <c r="E10" s="54"/>
      <c r="F10" s="54"/>
      <c r="G10" s="54"/>
      <c r="H10" s="54"/>
      <c r="I10" s="54"/>
      <c r="J10" s="54"/>
      <c r="K10" s="68"/>
      <c r="L10" s="54"/>
    </row>
    <row r="11" spans="1:12" s="57" customFormat="1" ht="24" thickBot="1">
      <c r="A11" s="204" t="s">
        <v>78</v>
      </c>
      <c r="B11" s="205"/>
      <c r="C11" s="205"/>
      <c r="D11" s="80">
        <f>0.144*COS(RADIANS(D9))</f>
        <v>0.144</v>
      </c>
      <c r="E11" s="70"/>
      <c r="F11" s="210" t="str">
        <f>A8</f>
        <v>Поправка за параллакс</v>
      </c>
      <c r="G11" s="210"/>
      <c r="H11" s="210"/>
      <c r="I11" s="210"/>
      <c r="J11" s="210"/>
      <c r="K11" s="211"/>
      <c r="L11" s="72"/>
    </row>
    <row r="12" ht="13.5" thickBot="1"/>
    <row r="13" spans="1:23" ht="26.25">
      <c r="A13" s="61" t="s">
        <v>87</v>
      </c>
      <c r="B13" s="62"/>
      <c r="C13" s="62"/>
      <c r="D13" s="62"/>
      <c r="E13" s="62"/>
      <c r="F13" s="62"/>
      <c r="G13" s="62"/>
      <c r="H13" s="62"/>
      <c r="I13" s="62"/>
      <c r="J13" s="83" t="s">
        <v>86</v>
      </c>
      <c r="K13" s="63"/>
      <c r="M13" s="61" t="s">
        <v>87</v>
      </c>
      <c r="N13" s="62"/>
      <c r="O13" s="62"/>
      <c r="P13" s="62"/>
      <c r="Q13" s="62"/>
      <c r="R13" s="62"/>
      <c r="S13" s="62"/>
      <c r="T13" s="62"/>
      <c r="U13" s="62"/>
      <c r="V13" s="83" t="s">
        <v>258</v>
      </c>
      <c r="W13" s="63"/>
    </row>
    <row r="14" spans="1:23" ht="26.25">
      <c r="A14" s="82" t="s">
        <v>84</v>
      </c>
      <c r="B14" s="54"/>
      <c r="C14" s="54"/>
      <c r="D14" s="54"/>
      <c r="E14" s="54"/>
      <c r="F14" s="54"/>
      <c r="G14" s="54"/>
      <c r="H14" s="54"/>
      <c r="I14" s="54"/>
      <c r="J14" s="54"/>
      <c r="K14" s="68"/>
      <c r="M14" s="82" t="s">
        <v>84</v>
      </c>
      <c r="N14" s="54"/>
      <c r="O14" s="54"/>
      <c r="P14" s="54"/>
      <c r="Q14" s="54"/>
      <c r="R14" s="54"/>
      <c r="S14" s="54"/>
      <c r="T14" s="54"/>
      <c r="U14" s="54"/>
      <c r="V14" s="54"/>
      <c r="W14" s="68"/>
    </row>
    <row r="15" spans="1:23" s="56" customFormat="1" ht="20.25">
      <c r="A15" s="206" t="s">
        <v>77</v>
      </c>
      <c r="B15" s="207"/>
      <c r="C15" s="207"/>
      <c r="D15" s="81">
        <v>0.01</v>
      </c>
      <c r="E15" s="65"/>
      <c r="F15" s="65" t="s">
        <v>82</v>
      </c>
      <c r="G15" s="65"/>
      <c r="H15" s="65"/>
      <c r="I15" s="65"/>
      <c r="J15" s="65"/>
      <c r="K15" s="66"/>
      <c r="L15" s="65"/>
      <c r="M15" s="206" t="s">
        <v>77</v>
      </c>
      <c r="N15" s="207"/>
      <c r="O15" s="207"/>
      <c r="P15" s="81">
        <f>D15</f>
        <v>0.01</v>
      </c>
      <c r="Q15" s="65"/>
      <c r="R15" s="65" t="s">
        <v>82</v>
      </c>
      <c r="S15" s="65"/>
      <c r="T15" s="65"/>
      <c r="U15" s="65"/>
      <c r="V15" s="65"/>
      <c r="W15" s="66"/>
    </row>
    <row r="16" spans="1:23" ht="12.75">
      <c r="A16" s="67"/>
      <c r="B16" s="54"/>
      <c r="C16" s="54"/>
      <c r="D16" s="54"/>
      <c r="E16" s="54"/>
      <c r="F16" s="54"/>
      <c r="G16" s="54"/>
      <c r="H16" s="54"/>
      <c r="I16" s="54"/>
      <c r="J16" s="54"/>
      <c r="K16" s="68"/>
      <c r="L16" s="54"/>
      <c r="M16" s="67"/>
      <c r="N16" s="54"/>
      <c r="O16" s="54"/>
      <c r="P16" s="54"/>
      <c r="Q16" s="54"/>
      <c r="R16" s="54"/>
      <c r="S16" s="54"/>
      <c r="T16" s="54"/>
      <c r="U16" s="54"/>
      <c r="V16" s="54"/>
      <c r="W16" s="68"/>
    </row>
    <row r="17" spans="1:23" s="57" customFormat="1" ht="24" thickBot="1">
      <c r="A17" s="204" t="s">
        <v>83</v>
      </c>
      <c r="B17" s="205"/>
      <c r="C17" s="205"/>
      <c r="D17" s="84">
        <f>(1.002/TAN(RADIANS(7.31/(D15+4.4)+D15)))</f>
        <v>34.4172968212775</v>
      </c>
      <c r="E17" s="70"/>
      <c r="F17" s="210" t="str">
        <f>A14</f>
        <v>Поправка за рефракцию</v>
      </c>
      <c r="G17" s="210"/>
      <c r="H17" s="210"/>
      <c r="I17" s="210"/>
      <c r="J17" s="210"/>
      <c r="K17" s="211"/>
      <c r="L17" s="72"/>
      <c r="M17" s="204" t="s">
        <v>83</v>
      </c>
      <c r="N17" s="205"/>
      <c r="O17" s="205"/>
      <c r="P17" s="69">
        <f>-(1/(TAN(RADIANS(D15))))*0.97</f>
        <v>-5557.690556336672</v>
      </c>
      <c r="Q17" s="70"/>
      <c r="R17" s="210" t="str">
        <f>M14</f>
        <v>Поправка за рефракцию</v>
      </c>
      <c r="S17" s="210"/>
      <c r="T17" s="210"/>
      <c r="U17" s="210"/>
      <c r="V17" s="210"/>
      <c r="W17" s="211"/>
    </row>
    <row r="18" ht="13.5" thickBot="1"/>
    <row r="19" spans="1:23" ht="26.25">
      <c r="A19" s="61" t="s">
        <v>94</v>
      </c>
      <c r="B19" s="62"/>
      <c r="C19" s="62"/>
      <c r="D19" s="62"/>
      <c r="E19" s="62"/>
      <c r="F19" s="62"/>
      <c r="G19" s="62"/>
      <c r="H19" s="62"/>
      <c r="I19" s="62"/>
      <c r="J19" s="83"/>
      <c r="K19" s="63"/>
      <c r="M19" s="61" t="s">
        <v>94</v>
      </c>
      <c r="N19" s="62"/>
      <c r="O19" s="62"/>
      <c r="P19" s="62"/>
      <c r="Q19" s="62"/>
      <c r="R19" s="62"/>
      <c r="S19" s="62"/>
      <c r="T19" s="62"/>
      <c r="U19" s="62"/>
      <c r="V19" s="83" t="s">
        <v>259</v>
      </c>
      <c r="W19" s="63"/>
    </row>
    <row r="20" spans="1:23" ht="26.25">
      <c r="A20" s="82" t="s">
        <v>95</v>
      </c>
      <c r="B20" s="54"/>
      <c r="C20" s="54"/>
      <c r="D20" s="54"/>
      <c r="E20" s="54"/>
      <c r="F20" s="54"/>
      <c r="G20" s="54"/>
      <c r="H20" s="54"/>
      <c r="I20" s="54"/>
      <c r="J20" s="54"/>
      <c r="K20" s="68"/>
      <c r="M20" s="82" t="s">
        <v>95</v>
      </c>
      <c r="N20" s="54"/>
      <c r="O20" s="54"/>
      <c r="P20" s="54"/>
      <c r="Q20" s="54"/>
      <c r="R20" s="54"/>
      <c r="S20" s="54"/>
      <c r="T20" s="54"/>
      <c r="U20" s="54"/>
      <c r="V20" s="54"/>
      <c r="W20" s="68"/>
    </row>
    <row r="21" spans="1:23" s="56" customFormat="1" ht="20.25">
      <c r="A21" s="206" t="s">
        <v>96</v>
      </c>
      <c r="B21" s="207"/>
      <c r="C21" s="207"/>
      <c r="D21" s="86">
        <v>50</v>
      </c>
      <c r="E21" s="65"/>
      <c r="F21" s="65" t="s">
        <v>97</v>
      </c>
      <c r="G21" s="65"/>
      <c r="H21" s="65"/>
      <c r="I21" s="65"/>
      <c r="J21" s="65"/>
      <c r="K21" s="66"/>
      <c r="L21" s="65"/>
      <c r="M21" s="206" t="s">
        <v>96</v>
      </c>
      <c r="N21" s="207"/>
      <c r="O21" s="207"/>
      <c r="P21" s="86">
        <f>D21</f>
        <v>50</v>
      </c>
      <c r="Q21" s="65"/>
      <c r="R21" s="65" t="s">
        <v>97</v>
      </c>
      <c r="S21" s="65"/>
      <c r="T21" s="65"/>
      <c r="U21" s="65"/>
      <c r="V21" s="65"/>
      <c r="W21" s="66"/>
    </row>
    <row r="22" spans="1:23" s="56" customFormat="1" ht="20.25">
      <c r="A22" s="206" t="s">
        <v>77</v>
      </c>
      <c r="B22" s="207"/>
      <c r="C22" s="207"/>
      <c r="D22" s="81">
        <v>30</v>
      </c>
      <c r="E22" s="65"/>
      <c r="F22" s="65" t="s">
        <v>82</v>
      </c>
      <c r="G22" s="65"/>
      <c r="H22" s="65"/>
      <c r="I22" s="65"/>
      <c r="J22" s="65"/>
      <c r="K22" s="66"/>
      <c r="L22" s="65"/>
      <c r="M22" s="206" t="s">
        <v>77</v>
      </c>
      <c r="N22" s="207"/>
      <c r="O22" s="207"/>
      <c r="P22" s="81">
        <f>D22</f>
        <v>30</v>
      </c>
      <c r="Q22" s="65"/>
      <c r="R22" s="65" t="s">
        <v>82</v>
      </c>
      <c r="S22" s="65"/>
      <c r="T22" s="65"/>
      <c r="U22" s="65"/>
      <c r="V22" s="65"/>
      <c r="W22" s="66"/>
    </row>
    <row r="23" spans="1:23" ht="12.75">
      <c r="A23" s="67"/>
      <c r="B23" s="54"/>
      <c r="C23" s="54"/>
      <c r="D23" s="54"/>
      <c r="E23" s="54"/>
      <c r="F23" s="54"/>
      <c r="G23" s="54"/>
      <c r="H23" s="54"/>
      <c r="I23" s="54"/>
      <c r="J23" s="54"/>
      <c r="K23" s="68"/>
      <c r="L23" s="54"/>
      <c r="M23" s="67"/>
      <c r="N23" s="54"/>
      <c r="O23" s="54"/>
      <c r="P23" s="54"/>
      <c r="Q23" s="54"/>
      <c r="R23" s="54"/>
      <c r="S23" s="54"/>
      <c r="T23" s="54"/>
      <c r="U23" s="54"/>
      <c r="V23" s="54"/>
      <c r="W23" s="68"/>
    </row>
    <row r="24" spans="1:23" s="57" customFormat="1" ht="24" thickBot="1">
      <c r="A24" s="204" t="s">
        <v>70</v>
      </c>
      <c r="B24" s="205"/>
      <c r="C24" s="205"/>
      <c r="D24" s="69">
        <f>((20/TAN(RADIANS(D22/2+0.65)))*SIN(RADIANS((D21-10))))/160</f>
        <v>0.2868092653922484</v>
      </c>
      <c r="E24" s="70"/>
      <c r="F24" s="210" t="str">
        <f>A20</f>
        <v>Поправка за температуру</v>
      </c>
      <c r="G24" s="210"/>
      <c r="H24" s="210"/>
      <c r="I24" s="210"/>
      <c r="J24" s="210"/>
      <c r="K24" s="211"/>
      <c r="L24" s="72"/>
      <c r="M24" s="204" t="s">
        <v>70</v>
      </c>
      <c r="N24" s="205"/>
      <c r="O24" s="205"/>
      <c r="P24" s="69">
        <f>P22-(273/(263+P21))*P22</f>
        <v>3.833865814696484</v>
      </c>
      <c r="Q24" s="70"/>
      <c r="R24" s="210" t="str">
        <f>M20</f>
        <v>Поправка за температуру</v>
      </c>
      <c r="S24" s="210"/>
      <c r="T24" s="210"/>
      <c r="U24" s="210"/>
      <c r="V24" s="210"/>
      <c r="W24" s="211"/>
    </row>
    <row r="25" ht="13.5" thickBot="1"/>
    <row r="26" spans="1:23" ht="26.25">
      <c r="A26" s="61" t="s">
        <v>284</v>
      </c>
      <c r="B26" s="62"/>
      <c r="C26" s="62"/>
      <c r="D26" s="62"/>
      <c r="E26" s="62"/>
      <c r="F26" s="62" t="s">
        <v>297</v>
      </c>
      <c r="G26" s="62"/>
      <c r="H26" s="62"/>
      <c r="I26" s="62"/>
      <c r="J26" s="83"/>
      <c r="K26" s="63"/>
      <c r="M26" s="61" t="s">
        <v>296</v>
      </c>
      <c r="N26" s="62"/>
      <c r="O26" s="62"/>
      <c r="P26" s="62"/>
      <c r="Q26" s="62"/>
      <c r="R26" s="62" t="s">
        <v>298</v>
      </c>
      <c r="S26" s="62"/>
      <c r="T26" s="62"/>
      <c r="U26" s="62"/>
      <c r="V26" s="83"/>
      <c r="W26" s="63"/>
    </row>
    <row r="27" spans="1:23" ht="26.25">
      <c r="A27" s="82" t="s">
        <v>283</v>
      </c>
      <c r="B27" s="54"/>
      <c r="C27" s="54"/>
      <c r="D27" s="54"/>
      <c r="E27" s="54"/>
      <c r="F27" s="54"/>
      <c r="G27" s="54"/>
      <c r="H27" s="54"/>
      <c r="I27" s="54"/>
      <c r="J27" s="54"/>
      <c r="K27" s="68"/>
      <c r="M27" s="82" t="s">
        <v>283</v>
      </c>
      <c r="N27" s="54"/>
      <c r="O27" s="54"/>
      <c r="P27" s="54"/>
      <c r="Q27" s="54"/>
      <c r="R27" s="54"/>
      <c r="S27" s="54"/>
      <c r="T27" s="54"/>
      <c r="U27" s="54"/>
      <c r="V27" s="54"/>
      <c r="W27" s="68"/>
    </row>
    <row r="28" spans="1:23" ht="20.25">
      <c r="A28" s="206" t="s">
        <v>294</v>
      </c>
      <c r="B28" s="207"/>
      <c r="C28" s="207"/>
      <c r="D28" s="175">
        <v>133</v>
      </c>
      <c r="E28" s="65"/>
      <c r="F28" s="65" t="s">
        <v>292</v>
      </c>
      <c r="G28" s="65"/>
      <c r="H28" s="65"/>
      <c r="I28" s="65"/>
      <c r="J28" s="65"/>
      <c r="K28" s="66"/>
      <c r="M28" s="206" t="s">
        <v>294</v>
      </c>
      <c r="N28" s="207"/>
      <c r="O28" s="207"/>
      <c r="P28" s="175">
        <f>D28</f>
        <v>133</v>
      </c>
      <c r="Q28" s="65"/>
      <c r="R28" s="65" t="s">
        <v>292</v>
      </c>
      <c r="S28" s="65"/>
      <c r="T28" s="65"/>
      <c r="U28" s="65"/>
      <c r="V28" s="65"/>
      <c r="W28" s="66"/>
    </row>
    <row r="29" spans="1:23" ht="20.25">
      <c r="A29" s="206" t="s">
        <v>288</v>
      </c>
      <c r="B29" s="207"/>
      <c r="C29" s="207"/>
      <c r="D29" s="175">
        <v>12</v>
      </c>
      <c r="E29" s="65"/>
      <c r="F29" s="65" t="s">
        <v>289</v>
      </c>
      <c r="G29" s="65"/>
      <c r="H29" s="65"/>
      <c r="I29" s="65"/>
      <c r="J29" s="65"/>
      <c r="K29" s="66"/>
      <c r="M29" s="206" t="s">
        <v>288</v>
      </c>
      <c r="N29" s="207"/>
      <c r="O29" s="207"/>
      <c r="P29" s="175">
        <f>D29</f>
        <v>12</v>
      </c>
      <c r="Q29" s="65"/>
      <c r="R29" s="65" t="s">
        <v>289</v>
      </c>
      <c r="S29" s="65"/>
      <c r="T29" s="65"/>
      <c r="U29" s="65"/>
      <c r="V29" s="65"/>
      <c r="W29" s="66"/>
    </row>
    <row r="30" spans="1:23" ht="20.25">
      <c r="A30" s="206" t="s">
        <v>285</v>
      </c>
      <c r="B30" s="207"/>
      <c r="C30" s="207"/>
      <c r="D30" s="176">
        <v>14</v>
      </c>
      <c r="E30" s="65" t="s">
        <v>286</v>
      </c>
      <c r="F30" s="65" t="s">
        <v>290</v>
      </c>
      <c r="G30" s="65"/>
      <c r="H30" s="65"/>
      <c r="I30" s="65"/>
      <c r="J30" s="65"/>
      <c r="K30" s="66"/>
      <c r="M30" s="206" t="s">
        <v>285</v>
      </c>
      <c r="N30" s="207"/>
      <c r="O30" s="207"/>
      <c r="P30" s="176">
        <f>D30</f>
        <v>14</v>
      </c>
      <c r="Q30" s="65" t="s">
        <v>286</v>
      </c>
      <c r="R30" s="65" t="s">
        <v>290</v>
      </c>
      <c r="S30" s="65"/>
      <c r="T30" s="65"/>
      <c r="U30" s="65"/>
      <c r="V30" s="65"/>
      <c r="W30" s="66"/>
    </row>
    <row r="31" spans="1:23" ht="12.75">
      <c r="A31" s="67"/>
      <c r="B31" s="54"/>
      <c r="C31" s="54"/>
      <c r="D31" s="54"/>
      <c r="E31" s="54"/>
      <c r="F31" s="54"/>
      <c r="G31" s="54"/>
      <c r="H31" s="54"/>
      <c r="I31" s="54"/>
      <c r="J31" s="54"/>
      <c r="K31" s="68"/>
      <c r="M31" s="67"/>
      <c r="N31" s="54"/>
      <c r="O31" s="54"/>
      <c r="P31" s="54"/>
      <c r="Q31" s="54"/>
      <c r="R31" s="54"/>
      <c r="S31" s="54"/>
      <c r="T31" s="54"/>
      <c r="U31" s="54"/>
      <c r="V31" s="54"/>
      <c r="W31" s="68"/>
    </row>
    <row r="32" spans="1:23" ht="23.25">
      <c r="A32" s="208" t="s">
        <v>287</v>
      </c>
      <c r="B32" s="209"/>
      <c r="C32" s="209"/>
      <c r="D32" s="177">
        <f>-DEGREES((D30*COS(RADIANS(D28)))/(900*COS(RADIANS(D29))+D30*SIN(RADIANS(D28))))</f>
        <v>0.6142781434887297</v>
      </c>
      <c r="E32" s="72"/>
      <c r="F32" s="173" t="s">
        <v>291</v>
      </c>
      <c r="G32" s="173"/>
      <c r="H32" s="173"/>
      <c r="I32" s="173"/>
      <c r="J32" s="173"/>
      <c r="K32" s="174"/>
      <c r="M32" s="208" t="s">
        <v>287</v>
      </c>
      <c r="N32" s="209"/>
      <c r="O32" s="209"/>
      <c r="P32" s="177">
        <f>-DEGREES((P30*COS(RADIANS(P28)))/(900*COS(RADIANS(P29))))</f>
        <v>0.6214226734055972</v>
      </c>
      <c r="Q32" s="72"/>
      <c r="R32" s="173" t="s">
        <v>291</v>
      </c>
      <c r="S32" s="173"/>
      <c r="T32" s="173"/>
      <c r="U32" s="173"/>
      <c r="V32" s="173"/>
      <c r="W32" s="174"/>
    </row>
    <row r="33" spans="1:23" ht="24" thickBot="1">
      <c r="A33" s="204" t="s">
        <v>295</v>
      </c>
      <c r="B33" s="205"/>
      <c r="C33" s="205"/>
      <c r="D33" s="178">
        <f>D28+D32</f>
        <v>133.61427814348872</v>
      </c>
      <c r="E33" s="70"/>
      <c r="F33" s="171" t="s">
        <v>293</v>
      </c>
      <c r="G33" s="171"/>
      <c r="H33" s="171"/>
      <c r="I33" s="171"/>
      <c r="J33" s="171"/>
      <c r="K33" s="172"/>
      <c r="M33" s="204" t="s">
        <v>295</v>
      </c>
      <c r="N33" s="205"/>
      <c r="O33" s="205"/>
      <c r="P33" s="178">
        <f>P28+P32</f>
        <v>133.6214226734056</v>
      </c>
      <c r="Q33" s="70"/>
      <c r="R33" s="171" t="s">
        <v>293</v>
      </c>
      <c r="S33" s="171"/>
      <c r="T33" s="171"/>
      <c r="U33" s="171"/>
      <c r="V33" s="171"/>
      <c r="W33" s="172"/>
    </row>
  </sheetData>
  <sheetProtection/>
  <mergeCells count="30">
    <mergeCell ref="A33:C33"/>
    <mergeCell ref="A29:C29"/>
    <mergeCell ref="A28:C28"/>
    <mergeCell ref="A30:C30"/>
    <mergeCell ref="A32:C32"/>
    <mergeCell ref="A21:C21"/>
    <mergeCell ref="A24:C24"/>
    <mergeCell ref="F24:K24"/>
    <mergeCell ref="A22:C22"/>
    <mergeCell ref="A11:C11"/>
    <mergeCell ref="F11:K11"/>
    <mergeCell ref="A15:C15"/>
    <mergeCell ref="A17:C17"/>
    <mergeCell ref="F17:K17"/>
    <mergeCell ref="A3:C3"/>
    <mergeCell ref="A5:C5"/>
    <mergeCell ref="F5:K5"/>
    <mergeCell ref="A9:C9"/>
    <mergeCell ref="M22:O22"/>
    <mergeCell ref="M24:O24"/>
    <mergeCell ref="R24:W24"/>
    <mergeCell ref="M15:O15"/>
    <mergeCell ref="M17:O17"/>
    <mergeCell ref="R17:W17"/>
    <mergeCell ref="M21:O21"/>
    <mergeCell ref="M33:O33"/>
    <mergeCell ref="M28:O28"/>
    <mergeCell ref="M29:O29"/>
    <mergeCell ref="M30:O30"/>
    <mergeCell ref="M32:O32"/>
  </mergeCells>
  <printOptions/>
  <pageMargins left="0.1968503937007874" right="0.1968503937007874" top="0.984251968503937" bottom="0.984251968503937" header="0.5118110236220472" footer="0.5118110236220472"/>
  <pageSetup horizontalDpi="120" verticalDpi="12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selection activeCell="H13" sqref="H13"/>
    </sheetView>
  </sheetViews>
  <sheetFormatPr defaultColWidth="9.140625" defaultRowHeight="12.75"/>
  <cols>
    <col min="4" max="4" width="3.7109375" style="0" customWidth="1"/>
    <col min="5" max="5" width="11.7109375" style="0" customWidth="1"/>
    <col min="6" max="6" width="11.8515625" style="0" customWidth="1"/>
  </cols>
  <sheetData>
    <row r="1" spans="3:26" ht="26.25">
      <c r="C1" s="59"/>
      <c r="D1" s="59"/>
      <c r="E1" s="60" t="s">
        <v>64</v>
      </c>
      <c r="O1" s="78">
        <v>1</v>
      </c>
      <c r="P1" s="78">
        <v>2</v>
      </c>
      <c r="Q1" s="78">
        <v>3</v>
      </c>
      <c r="R1" s="78">
        <v>4</v>
      </c>
      <c r="S1" s="78">
        <v>5</v>
      </c>
      <c r="T1" s="78">
        <v>6</v>
      </c>
      <c r="U1" s="78">
        <v>7</v>
      </c>
      <c r="V1" s="78">
        <v>8</v>
      </c>
      <c r="W1" s="78">
        <v>9</v>
      </c>
      <c r="X1" s="78">
        <v>10</v>
      </c>
      <c r="Y1" s="78">
        <v>11</v>
      </c>
      <c r="Z1" s="78">
        <v>12</v>
      </c>
    </row>
    <row r="2" spans="5:26" ht="23.25">
      <c r="E2" s="58" t="s">
        <v>65</v>
      </c>
      <c r="J2" s="55" t="s">
        <v>76</v>
      </c>
      <c r="O2" s="78">
        <v>0.3</v>
      </c>
      <c r="P2" s="78">
        <v>0.2</v>
      </c>
      <c r="Q2" s="78">
        <v>0.1</v>
      </c>
      <c r="R2" s="78">
        <v>0</v>
      </c>
      <c r="S2" s="78">
        <v>-0.2</v>
      </c>
      <c r="T2" s="78">
        <v>-0.2</v>
      </c>
      <c r="U2" s="78">
        <v>-0.2</v>
      </c>
      <c r="V2" s="78">
        <v>-0.2</v>
      </c>
      <c r="W2" s="78">
        <v>-0.1</v>
      </c>
      <c r="X2" s="78">
        <v>0.1</v>
      </c>
      <c r="Y2" s="78">
        <v>0.2</v>
      </c>
      <c r="Z2" s="78">
        <v>0.3</v>
      </c>
    </row>
    <row r="3" ht="12.75">
      <c r="A3" t="s">
        <v>66</v>
      </c>
    </row>
    <row r="4" spans="1:13" s="56" customFormat="1" ht="20.25">
      <c r="A4" s="206" t="s">
        <v>58</v>
      </c>
      <c r="B4" s="207"/>
      <c r="C4" s="207"/>
      <c r="D4" s="182"/>
      <c r="E4" s="64">
        <v>12</v>
      </c>
      <c r="F4" s="65" t="s">
        <v>59</v>
      </c>
      <c r="G4" s="65" t="s">
        <v>67</v>
      </c>
      <c r="H4" s="65"/>
      <c r="I4" s="65"/>
      <c r="J4" s="65"/>
      <c r="K4" s="65"/>
      <c r="L4" s="65"/>
      <c r="M4" s="65"/>
    </row>
    <row r="5" spans="1:14" s="56" customFormat="1" ht="20.25">
      <c r="A5" s="206" t="s">
        <v>68</v>
      </c>
      <c r="B5" s="207"/>
      <c r="C5" s="207"/>
      <c r="D5" s="182"/>
      <c r="E5" s="73">
        <v>0</v>
      </c>
      <c r="F5" s="74">
        <v>0</v>
      </c>
      <c r="G5" s="65" t="s">
        <v>72</v>
      </c>
      <c r="H5" s="65"/>
      <c r="I5" s="65"/>
      <c r="J5" s="65"/>
      <c r="K5" s="65"/>
      <c r="L5" s="65"/>
      <c r="M5" s="65"/>
      <c r="N5" s="77">
        <f>F5/60+E5</f>
        <v>0</v>
      </c>
    </row>
    <row r="6" spans="1:14" s="56" customFormat="1" ht="20.25">
      <c r="A6" s="206" t="s">
        <v>69</v>
      </c>
      <c r="B6" s="207"/>
      <c r="C6" s="207"/>
      <c r="D6" s="182"/>
      <c r="E6" s="64">
        <v>6</v>
      </c>
      <c r="F6" s="65"/>
      <c r="G6" s="65" t="s">
        <v>73</v>
      </c>
      <c r="H6" s="65"/>
      <c r="I6" s="65"/>
      <c r="J6" s="65"/>
      <c r="K6" s="65"/>
      <c r="L6" s="65"/>
      <c r="M6" s="65"/>
      <c r="N6" s="79">
        <f>HLOOKUP(E6,O1:Z2,2)</f>
        <v>-0.2</v>
      </c>
    </row>
    <row r="8" spans="1:7" ht="24" customHeight="1">
      <c r="A8" s="207" t="s">
        <v>70</v>
      </c>
      <c r="B8" s="207"/>
      <c r="C8" s="207"/>
      <c r="D8" s="183"/>
      <c r="E8" s="71">
        <f>16-1.758*SQRT(E4)-(1.002/TAN(RADIANS(7.31/(N5+4.4)+N5)))+0.144*COS(RADIANS(N5))+N6</f>
        <v>-24.692379450161262</v>
      </c>
      <c r="F8" s="54"/>
      <c r="G8" s="75" t="s">
        <v>74</v>
      </c>
    </row>
    <row r="9" spans="1:14" ht="24" customHeight="1">
      <c r="A9" s="207" t="s">
        <v>71</v>
      </c>
      <c r="B9" s="207"/>
      <c r="C9" s="207"/>
      <c r="D9" s="183" t="str">
        <f>IF(N9&lt;0,"-","")</f>
        <v>-</v>
      </c>
      <c r="E9" s="181">
        <f>INT(ABS(N9))*SIGN(N9)</f>
        <v>0</v>
      </c>
      <c r="F9" s="71">
        <f>((ABS(N9)-ABS(E9))*60)</f>
        <v>24.692379450161262</v>
      </c>
      <c r="G9" s="75" t="s">
        <v>75</v>
      </c>
      <c r="N9" s="78">
        <f>N5+E8/60</f>
        <v>-0.4115396575026877</v>
      </c>
    </row>
    <row r="11" spans="1:5" ht="12.75">
      <c r="A11" t="s">
        <v>90</v>
      </c>
      <c r="E11" s="76"/>
    </row>
    <row r="12" spans="1:6" ht="12.75">
      <c r="A12" s="212" t="s">
        <v>91</v>
      </c>
      <c r="B12" s="212"/>
      <c r="C12" s="212"/>
      <c r="D12" s="212"/>
      <c r="E12" s="212"/>
      <c r="F12" s="89">
        <v>16</v>
      </c>
    </row>
    <row r="13" spans="1:7" ht="12.75">
      <c r="A13" s="212" t="s">
        <v>88</v>
      </c>
      <c r="B13" s="212"/>
      <c r="C13" s="212"/>
      <c r="D13" s="212"/>
      <c r="E13" s="212"/>
      <c r="F13" s="89">
        <f>N6</f>
        <v>-0.2</v>
      </c>
      <c r="G13" s="213">
        <f>SUM(F13:F16)</f>
        <v>-40.69237945016126</v>
      </c>
    </row>
    <row r="14" spans="1:7" ht="12.75">
      <c r="A14" s="212" t="s">
        <v>89</v>
      </c>
      <c r="B14" s="212"/>
      <c r="C14" s="212"/>
      <c r="D14" s="212"/>
      <c r="E14" s="212"/>
      <c r="F14" s="89">
        <f>-SQRT(E4)*1.758</f>
        <v>-6.089890639412173</v>
      </c>
      <c r="G14" s="213"/>
    </row>
    <row r="15" spans="1:7" ht="12.75">
      <c r="A15" s="212" t="s">
        <v>92</v>
      </c>
      <c r="B15" s="212"/>
      <c r="C15" s="212"/>
      <c r="D15" s="212"/>
      <c r="E15" s="212"/>
      <c r="F15" s="89">
        <f>-(1.002/TAN(RADIANS(7.31/(N5+4.4)+N5)))</f>
        <v>-34.54648881074909</v>
      </c>
      <c r="G15" s="213"/>
    </row>
    <row r="16" spans="1:7" ht="12.75">
      <c r="A16" s="212" t="s">
        <v>93</v>
      </c>
      <c r="B16" s="212"/>
      <c r="C16" s="212"/>
      <c r="D16" s="212"/>
      <c r="E16" s="212"/>
      <c r="F16" s="89">
        <f>0.144*COS(RADIANS(N5))</f>
        <v>0.144</v>
      </c>
      <c r="G16" s="213"/>
    </row>
    <row r="17" ht="12.75">
      <c r="F17">
        <f>SUM(F12:F16)</f>
        <v>-24.692379450161262</v>
      </c>
    </row>
  </sheetData>
  <sheetProtection/>
  <mergeCells count="11">
    <mergeCell ref="A16:E16"/>
    <mergeCell ref="G13:G16"/>
    <mergeCell ref="A12:E12"/>
    <mergeCell ref="A13:E13"/>
    <mergeCell ref="A14:E14"/>
    <mergeCell ref="A15:E15"/>
    <mergeCell ref="A9:C9"/>
    <mergeCell ref="A4:C4"/>
    <mergeCell ref="A5:C5"/>
    <mergeCell ref="A6:C6"/>
    <mergeCell ref="A8:C8"/>
  </mergeCells>
  <printOptions/>
  <pageMargins left="0.75" right="0.75" top="1" bottom="1" header="0.5" footer="0.5"/>
  <pageSetup horizontalDpi="120" verticalDpi="12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100" workbookViewId="0" topLeftCell="A35">
      <selection activeCell="A39" sqref="A39"/>
    </sheetView>
  </sheetViews>
  <sheetFormatPr defaultColWidth="9.140625" defaultRowHeight="12.75"/>
  <cols>
    <col min="1" max="1" width="6.140625" style="0" customWidth="1"/>
    <col min="2" max="3" width="9.421875" style="0" bestFit="1" customWidth="1"/>
    <col min="4" max="4" width="11.00390625" style="0" bestFit="1" customWidth="1"/>
    <col min="6" max="6" width="9.421875" style="0" bestFit="1" customWidth="1"/>
    <col min="7" max="7" width="6.7109375" style="0" customWidth="1"/>
    <col min="8" max="9" width="9.421875" style="0" bestFit="1" customWidth="1"/>
    <col min="11" max="11" width="9.28125" style="0" customWidth="1"/>
    <col min="12" max="12" width="7.7109375" style="0" customWidth="1"/>
  </cols>
  <sheetData>
    <row r="1" ht="12.75">
      <c r="A1" s="51" t="s">
        <v>172</v>
      </c>
    </row>
    <row r="2" ht="12.75">
      <c r="A2" t="s">
        <v>160</v>
      </c>
    </row>
    <row r="3" ht="12.75">
      <c r="A3" t="s">
        <v>161</v>
      </c>
    </row>
    <row r="4" spans="1:12" ht="12.75">
      <c r="A4" s="217" t="s">
        <v>162</v>
      </c>
      <c r="B4" s="217"/>
      <c r="C4" s="217"/>
      <c r="D4" s="213" t="s">
        <v>163</v>
      </c>
      <c r="E4" s="217" t="s">
        <v>164</v>
      </c>
      <c r="F4" s="217"/>
      <c r="G4" s="217"/>
      <c r="H4" s="217" t="s">
        <v>165</v>
      </c>
      <c r="I4" s="217"/>
      <c r="J4" s="217"/>
      <c r="K4" s="217" t="s">
        <v>134</v>
      </c>
      <c r="L4" s="217"/>
    </row>
    <row r="5" spans="1:12" ht="12.75">
      <c r="A5" s="94" t="s">
        <v>166</v>
      </c>
      <c r="B5" s="94" t="s">
        <v>167</v>
      </c>
      <c r="C5" s="94" t="s">
        <v>168</v>
      </c>
      <c r="D5" s="213"/>
      <c r="E5" s="94" t="s">
        <v>141</v>
      </c>
      <c r="F5" s="95" t="s">
        <v>142</v>
      </c>
      <c r="G5" s="94" t="s">
        <v>169</v>
      </c>
      <c r="H5" s="94" t="s">
        <v>141</v>
      </c>
      <c r="I5" s="95" t="s">
        <v>142</v>
      </c>
      <c r="J5" s="94" t="s">
        <v>170</v>
      </c>
      <c r="K5" s="94" t="s">
        <v>141</v>
      </c>
      <c r="L5" s="95" t="s">
        <v>142</v>
      </c>
    </row>
    <row r="6" spans="1:12" ht="12.75">
      <c r="A6" s="97">
        <v>21</v>
      </c>
      <c r="B6" s="97">
        <v>53</v>
      </c>
      <c r="C6" s="97">
        <v>25</v>
      </c>
      <c r="D6" s="98">
        <v>34261</v>
      </c>
      <c r="E6" s="99">
        <v>44</v>
      </c>
      <c r="F6" s="100">
        <v>17.2</v>
      </c>
      <c r="G6" s="97" t="s">
        <v>23</v>
      </c>
      <c r="H6" s="99">
        <v>179</v>
      </c>
      <c r="I6" s="100">
        <v>23.2</v>
      </c>
      <c r="J6" s="97" t="s">
        <v>22</v>
      </c>
      <c r="K6" s="99">
        <v>29</v>
      </c>
      <c r="L6" s="100">
        <v>28.8</v>
      </c>
    </row>
    <row r="8" ht="12.75">
      <c r="A8" t="s">
        <v>171</v>
      </c>
    </row>
    <row r="9" spans="1:12" ht="12.75">
      <c r="A9" s="217" t="s">
        <v>162</v>
      </c>
      <c r="B9" s="217"/>
      <c r="C9" s="217"/>
      <c r="D9" s="213" t="s">
        <v>163</v>
      </c>
      <c r="E9" s="217" t="s">
        <v>164</v>
      </c>
      <c r="F9" s="217"/>
      <c r="G9" s="217"/>
      <c r="H9" s="217" t="s">
        <v>165</v>
      </c>
      <c r="I9" s="217"/>
      <c r="J9" s="217"/>
      <c r="K9" s="217" t="s">
        <v>134</v>
      </c>
      <c r="L9" s="217"/>
    </row>
    <row r="10" spans="1:12" ht="12.75">
      <c r="A10" s="94" t="s">
        <v>166</v>
      </c>
      <c r="B10" s="94" t="s">
        <v>167</v>
      </c>
      <c r="C10" s="94" t="s">
        <v>168</v>
      </c>
      <c r="D10" s="213"/>
      <c r="E10" s="94" t="s">
        <v>141</v>
      </c>
      <c r="F10" s="95" t="s">
        <v>142</v>
      </c>
      <c r="G10" s="94" t="s">
        <v>169</v>
      </c>
      <c r="H10" s="94" t="s">
        <v>141</v>
      </c>
      <c r="I10" s="95" t="s">
        <v>142</v>
      </c>
      <c r="J10" s="94" t="s">
        <v>170</v>
      </c>
      <c r="K10" s="94" t="s">
        <v>141</v>
      </c>
      <c r="L10" s="95" t="s">
        <v>142</v>
      </c>
    </row>
    <row r="11" spans="1:12" ht="12.75">
      <c r="A11" s="97">
        <v>1</v>
      </c>
      <c r="B11" s="97">
        <v>0</v>
      </c>
      <c r="C11" s="97">
        <v>17</v>
      </c>
      <c r="D11" s="98">
        <v>34262</v>
      </c>
      <c r="E11" s="99">
        <v>44</v>
      </c>
      <c r="F11" s="100">
        <v>18.5</v>
      </c>
      <c r="G11" s="97" t="s">
        <v>23</v>
      </c>
      <c r="H11" s="99">
        <v>180</v>
      </c>
      <c r="I11" s="100">
        <v>15.2</v>
      </c>
      <c r="J11" s="97" t="s">
        <v>22</v>
      </c>
      <c r="K11" s="99">
        <v>32</v>
      </c>
      <c r="L11" s="100">
        <v>31.4</v>
      </c>
    </row>
    <row r="12" ht="12.75">
      <c r="A12" s="51"/>
    </row>
    <row r="13" ht="12.75">
      <c r="A13" s="51" t="s">
        <v>178</v>
      </c>
    </row>
    <row r="14" ht="14.25">
      <c r="A14" s="101" t="s">
        <v>177</v>
      </c>
    </row>
    <row r="15" spans="1:7" ht="13.5" thickBot="1">
      <c r="A15" s="103" t="s">
        <v>245</v>
      </c>
      <c r="G15" s="103" t="s">
        <v>195</v>
      </c>
    </row>
    <row r="16" spans="1:11" ht="13.5" thickBot="1">
      <c r="A16" s="104"/>
      <c r="B16" s="214" t="s">
        <v>161</v>
      </c>
      <c r="C16" s="215"/>
      <c r="D16" s="214" t="s">
        <v>171</v>
      </c>
      <c r="E16" s="215"/>
      <c r="G16" s="104"/>
      <c r="H16" s="214" t="s">
        <v>161</v>
      </c>
      <c r="I16" s="215"/>
      <c r="J16" s="214" t="s">
        <v>171</v>
      </c>
      <c r="K16" s="215"/>
    </row>
    <row r="17" spans="1:11" ht="24.75" thickBot="1">
      <c r="A17" s="111" t="s">
        <v>179</v>
      </c>
      <c r="B17" s="112" t="s">
        <v>180</v>
      </c>
      <c r="C17" s="113" t="s">
        <v>181</v>
      </c>
      <c r="D17" s="113" t="s">
        <v>182</v>
      </c>
      <c r="E17" s="112" t="s">
        <v>183</v>
      </c>
      <c r="G17" s="111" t="s">
        <v>179</v>
      </c>
      <c r="H17" s="112" t="s">
        <v>180</v>
      </c>
      <c r="I17" s="113" t="s">
        <v>196</v>
      </c>
      <c r="J17" s="113" t="s">
        <v>182</v>
      </c>
      <c r="K17" s="112" t="s">
        <v>197</v>
      </c>
    </row>
    <row r="18" spans="1:11" ht="26.25" thickBot="1">
      <c r="A18" s="107" t="s">
        <v>184</v>
      </c>
      <c r="B18" s="105" t="s">
        <v>185</v>
      </c>
      <c r="C18" s="106" t="s">
        <v>186</v>
      </c>
      <c r="D18" s="106" t="s">
        <v>187</v>
      </c>
      <c r="E18" s="105" t="s">
        <v>188</v>
      </c>
      <c r="G18" s="107" t="s">
        <v>198</v>
      </c>
      <c r="H18" s="105" t="s">
        <v>185</v>
      </c>
      <c r="I18" s="106" t="s">
        <v>199</v>
      </c>
      <c r="J18" s="106" t="s">
        <v>187</v>
      </c>
      <c r="K18" s="105" t="s">
        <v>190</v>
      </c>
    </row>
    <row r="19" spans="1:11" ht="26.25" thickBot="1">
      <c r="A19" s="107" t="s">
        <v>193</v>
      </c>
      <c r="B19" s="105"/>
      <c r="C19" s="106" t="s">
        <v>189</v>
      </c>
      <c r="D19" s="106"/>
      <c r="E19" s="105" t="s">
        <v>190</v>
      </c>
      <c r="G19" s="119" t="s">
        <v>200</v>
      </c>
      <c r="H19" s="105"/>
      <c r="I19" s="109" t="s">
        <v>201</v>
      </c>
      <c r="J19" s="106"/>
      <c r="K19" s="110" t="s">
        <v>197</v>
      </c>
    </row>
    <row r="20" spans="1:5" ht="26.25" thickBot="1">
      <c r="A20" s="108" t="s">
        <v>194</v>
      </c>
      <c r="B20" s="105"/>
      <c r="C20" s="109" t="s">
        <v>191</v>
      </c>
      <c r="D20" s="106"/>
      <c r="E20" s="110" t="s">
        <v>192</v>
      </c>
    </row>
    <row r="21" spans="1:5" ht="12.75">
      <c r="A21" s="114"/>
      <c r="B21" s="115"/>
      <c r="C21" s="116"/>
      <c r="D21" s="117"/>
      <c r="E21" s="118"/>
    </row>
    <row r="22" spans="1:5" ht="14.25">
      <c r="A22" s="101" t="s">
        <v>202</v>
      </c>
      <c r="B22" s="115"/>
      <c r="C22" s="116"/>
      <c r="D22" s="117"/>
      <c r="E22" s="118"/>
    </row>
    <row r="23" spans="1:5" ht="12.75">
      <c r="A23" s="89"/>
      <c r="B23" s="212" t="s">
        <v>161</v>
      </c>
      <c r="C23" s="212"/>
      <c r="D23" s="212" t="s">
        <v>171</v>
      </c>
      <c r="E23" s="212"/>
    </row>
    <row r="24" spans="1:5" ht="14.25">
      <c r="A24" s="89" t="s">
        <v>194</v>
      </c>
      <c r="B24" s="212" t="s">
        <v>191</v>
      </c>
      <c r="C24" s="212"/>
      <c r="D24" s="212" t="s">
        <v>192</v>
      </c>
      <c r="E24" s="212"/>
    </row>
    <row r="25" spans="1:5" ht="12.75">
      <c r="A25" s="89" t="s">
        <v>203</v>
      </c>
      <c r="B25" s="212" t="s">
        <v>204</v>
      </c>
      <c r="C25" s="212"/>
      <c r="D25" s="212" t="s">
        <v>205</v>
      </c>
      <c r="E25" s="212"/>
    </row>
    <row r="26" spans="1:5" ht="12.75">
      <c r="A26" s="89"/>
      <c r="B26" s="212" t="s">
        <v>206</v>
      </c>
      <c r="C26" s="212"/>
      <c r="D26" s="212" t="s">
        <v>207</v>
      </c>
      <c r="E26" s="212"/>
    </row>
    <row r="27" spans="1:5" ht="14.25">
      <c r="A27" s="89" t="s">
        <v>209</v>
      </c>
      <c r="B27" s="212" t="s">
        <v>206</v>
      </c>
      <c r="C27" s="212"/>
      <c r="D27" s="212" t="s">
        <v>208</v>
      </c>
      <c r="E27" s="212"/>
    </row>
    <row r="28" spans="1:5" ht="14.25">
      <c r="A28" s="89"/>
      <c r="B28" s="212" t="s">
        <v>246</v>
      </c>
      <c r="C28" s="212"/>
      <c r="D28" s="212" t="s">
        <v>210</v>
      </c>
      <c r="E28" s="212"/>
    </row>
    <row r="29" spans="1:5" ht="12.75">
      <c r="A29" s="101"/>
      <c r="B29" s="115"/>
      <c r="C29" s="116"/>
      <c r="D29" s="117"/>
      <c r="E29" s="118"/>
    </row>
    <row r="30" spans="1:5" ht="12.75">
      <c r="A30" s="124" t="s">
        <v>211</v>
      </c>
      <c r="B30" s="115"/>
      <c r="C30" s="116"/>
      <c r="D30" s="117"/>
      <c r="E30" s="118"/>
    </row>
    <row r="31" spans="1:4" ht="12.75">
      <c r="A31" s="89" t="s">
        <v>161</v>
      </c>
      <c r="B31" s="89"/>
      <c r="C31" s="89" t="s">
        <v>171</v>
      </c>
      <c r="D31" s="89"/>
    </row>
    <row r="32" spans="1:4" ht="13.5">
      <c r="A32" s="89" t="s">
        <v>212</v>
      </c>
      <c r="B32" s="89"/>
      <c r="C32" s="89" t="s">
        <v>213</v>
      </c>
      <c r="D32" s="89"/>
    </row>
    <row r="33" spans="1:4" ht="13.5">
      <c r="A33" s="89" t="s">
        <v>214</v>
      </c>
      <c r="B33" s="89"/>
      <c r="C33" s="89" t="s">
        <v>215</v>
      </c>
      <c r="D33" s="89"/>
    </row>
    <row r="34" spans="1:4" ht="13.5">
      <c r="A34" s="89" t="s">
        <v>216</v>
      </c>
      <c r="B34" s="89"/>
      <c r="C34" s="89" t="s">
        <v>217</v>
      </c>
      <c r="D34" s="89"/>
    </row>
    <row r="35" spans="1:5" ht="12.75">
      <c r="A35" s="101"/>
      <c r="B35" s="115"/>
      <c r="C35" s="116"/>
      <c r="D35" s="117"/>
      <c r="E35" s="118"/>
    </row>
    <row r="36" spans="1:5" ht="12.75">
      <c r="A36" s="101" t="s">
        <v>218</v>
      </c>
      <c r="B36" s="115"/>
      <c r="C36" s="116"/>
      <c r="D36" s="117"/>
      <c r="E36" s="118"/>
    </row>
    <row r="37" spans="1:5" ht="12.75">
      <c r="A37" s="101" t="s">
        <v>219</v>
      </c>
      <c r="B37" s="115"/>
      <c r="C37" s="116"/>
      <c r="D37" s="117"/>
      <c r="E37" s="118"/>
    </row>
    <row r="38" spans="1:5" ht="12.75">
      <c r="A38" s="101" t="s">
        <v>299</v>
      </c>
      <c r="B38" s="115"/>
      <c r="C38" s="116"/>
      <c r="D38" s="117"/>
      <c r="E38" s="118"/>
    </row>
    <row r="39" spans="1:5" ht="12.75">
      <c r="A39" s="101" t="s">
        <v>220</v>
      </c>
      <c r="B39" s="115"/>
      <c r="C39" s="116"/>
      <c r="D39" s="117"/>
      <c r="E39" s="118"/>
    </row>
    <row r="40" spans="1:5" ht="21">
      <c r="A40" s="101" t="s">
        <v>221</v>
      </c>
      <c r="B40" s="115"/>
      <c r="C40" s="116"/>
      <c r="D40" s="117"/>
      <c r="E40" s="118"/>
    </row>
    <row r="41" spans="1:5" ht="20.25">
      <c r="A41" s="101" t="s">
        <v>222</v>
      </c>
      <c r="B41" s="115"/>
      <c r="C41" s="116"/>
      <c r="D41" s="117"/>
      <c r="E41" s="118"/>
    </row>
    <row r="42" spans="1:5" ht="20.25">
      <c r="A42" s="101" t="s">
        <v>223</v>
      </c>
      <c r="B42" s="115"/>
      <c r="C42" s="116"/>
      <c r="D42" s="117"/>
      <c r="E42" s="118"/>
    </row>
    <row r="43" spans="1:5" ht="12.75">
      <c r="A43" s="101"/>
      <c r="B43" s="115"/>
      <c r="C43" s="116"/>
      <c r="D43" s="117"/>
      <c r="E43" s="118"/>
    </row>
    <row r="44" spans="1:5" ht="12.75">
      <c r="A44" s="101" t="s">
        <v>224</v>
      </c>
      <c r="B44" s="115"/>
      <c r="C44" s="116"/>
      <c r="D44" s="117"/>
      <c r="E44" s="118"/>
    </row>
    <row r="45" spans="1:5" ht="15.75">
      <c r="A45" s="101" t="s">
        <v>256</v>
      </c>
      <c r="B45" s="115"/>
      <c r="C45" s="116"/>
      <c r="D45" s="117"/>
      <c r="E45" s="118"/>
    </row>
    <row r="46" spans="1:5" ht="20.25">
      <c r="A46" s="101" t="s">
        <v>253</v>
      </c>
      <c r="B46" s="115"/>
      <c r="C46" s="116"/>
      <c r="D46" s="101" t="s">
        <v>254</v>
      </c>
      <c r="E46" s="118"/>
    </row>
    <row r="47" spans="1:5" ht="12.75">
      <c r="A47" s="101"/>
      <c r="B47" s="115"/>
      <c r="C47" s="116"/>
      <c r="D47" s="117"/>
      <c r="E47" s="118"/>
    </row>
    <row r="48" spans="1:5" ht="20.25">
      <c r="A48" s="101" t="s">
        <v>225</v>
      </c>
      <c r="B48" s="115"/>
      <c r="C48" s="116"/>
      <c r="D48" s="101" t="s">
        <v>255</v>
      </c>
      <c r="E48" s="118"/>
    </row>
    <row r="49" spans="1:5" ht="12.75">
      <c r="A49" s="101"/>
      <c r="B49" s="115"/>
      <c r="C49" s="116"/>
      <c r="D49" s="117"/>
      <c r="E49" s="118"/>
    </row>
    <row r="50" spans="1:10" ht="12.75">
      <c r="A50" s="51" t="s">
        <v>226</v>
      </c>
      <c r="J50" s="51" t="s">
        <v>227</v>
      </c>
    </row>
    <row r="51" spans="1:11" ht="12.75">
      <c r="A51" s="87" t="s">
        <v>141</v>
      </c>
      <c r="B51" s="88" t="s">
        <v>142</v>
      </c>
      <c r="C51" s="89"/>
      <c r="D51" s="212"/>
      <c r="E51" s="212"/>
      <c r="F51" s="212"/>
      <c r="G51" s="212"/>
      <c r="H51" s="212"/>
      <c r="I51" s="212"/>
      <c r="J51" s="87" t="s">
        <v>141</v>
      </c>
      <c r="K51" s="88" t="s">
        <v>142</v>
      </c>
    </row>
    <row r="52" spans="1:11" ht="12.75">
      <c r="A52" s="99">
        <f>K6</f>
        <v>29</v>
      </c>
      <c r="B52" s="102">
        <f>L6</f>
        <v>28.8</v>
      </c>
      <c r="C52" s="90" t="s">
        <v>133</v>
      </c>
      <c r="D52" s="216" t="s">
        <v>134</v>
      </c>
      <c r="E52" s="216"/>
      <c r="F52" s="216"/>
      <c r="G52" s="216"/>
      <c r="H52" s="216"/>
      <c r="I52" s="216"/>
      <c r="J52" s="99">
        <v>32</v>
      </c>
      <c r="K52" s="100">
        <v>31.4</v>
      </c>
    </row>
    <row r="53" spans="1:11" ht="12.75">
      <c r="A53" s="99"/>
      <c r="B53" s="102">
        <v>0.55</v>
      </c>
      <c r="C53" s="91" t="s">
        <v>135</v>
      </c>
      <c r="D53" s="212" t="s">
        <v>137</v>
      </c>
      <c r="E53" s="212"/>
      <c r="F53" s="212"/>
      <c r="G53" s="212"/>
      <c r="H53" s="212"/>
      <c r="I53" s="212"/>
      <c r="J53" s="99"/>
      <c r="K53" s="102">
        <v>-0.16</v>
      </c>
    </row>
    <row r="54" spans="1:11" ht="12.75">
      <c r="A54" s="99"/>
      <c r="B54" s="121">
        <v>0.18</v>
      </c>
      <c r="C54" s="91" t="s">
        <v>136</v>
      </c>
      <c r="D54" s="212" t="s">
        <v>138</v>
      </c>
      <c r="E54" s="212"/>
      <c r="F54" s="212"/>
      <c r="G54" s="212"/>
      <c r="H54" s="212"/>
      <c r="I54" s="212"/>
      <c r="J54" s="99"/>
      <c r="K54" s="121">
        <v>0.2</v>
      </c>
    </row>
    <row r="55" spans="1:11" ht="12.75">
      <c r="A55" s="99">
        <f>A52</f>
        <v>29</v>
      </c>
      <c r="B55" s="102">
        <f>SUM(B52:B54)</f>
        <v>29.53</v>
      </c>
      <c r="C55" s="90" t="s">
        <v>139</v>
      </c>
      <c r="D55" s="216" t="s">
        <v>140</v>
      </c>
      <c r="E55" s="216"/>
      <c r="F55" s="216"/>
      <c r="G55" s="216"/>
      <c r="H55" s="216"/>
      <c r="I55" s="216"/>
      <c r="J55" s="99">
        <f>J52</f>
        <v>32</v>
      </c>
      <c r="K55" s="102">
        <f>SUM(K52:K54)</f>
        <v>31.439999999999998</v>
      </c>
    </row>
    <row r="56" spans="1:11" ht="12.75">
      <c r="A56" s="99"/>
      <c r="B56" s="102">
        <v>-5.2</v>
      </c>
      <c r="C56" s="91" t="s">
        <v>143</v>
      </c>
      <c r="D56" s="212" t="s">
        <v>144</v>
      </c>
      <c r="E56" s="212"/>
      <c r="F56" s="212"/>
      <c r="G56" s="212"/>
      <c r="H56" s="212"/>
      <c r="I56" s="212"/>
      <c r="J56" s="99"/>
      <c r="K56" s="102">
        <v>-5.2</v>
      </c>
    </row>
    <row r="57" spans="1:11" ht="15.75">
      <c r="A57" s="99">
        <f>A55</f>
        <v>29</v>
      </c>
      <c r="B57" s="102">
        <f>B56+B55</f>
        <v>24.330000000000002</v>
      </c>
      <c r="C57" s="90" t="s">
        <v>145</v>
      </c>
      <c r="D57" s="216" t="s">
        <v>146</v>
      </c>
      <c r="E57" s="216"/>
      <c r="F57" s="216"/>
      <c r="G57" s="216"/>
      <c r="H57" s="216"/>
      <c r="I57" s="216"/>
      <c r="J57" s="99">
        <f>J55</f>
        <v>32</v>
      </c>
      <c r="K57" s="102">
        <f>K56+K55</f>
        <v>26.24</v>
      </c>
    </row>
    <row r="58" spans="1:11" ht="12.75">
      <c r="A58" s="99"/>
      <c r="B58" s="121">
        <v>16</v>
      </c>
      <c r="C58" s="92" t="s">
        <v>147</v>
      </c>
      <c r="D58" s="212" t="s">
        <v>149</v>
      </c>
      <c r="E58" s="212"/>
      <c r="F58" s="212"/>
      <c r="G58" s="212"/>
      <c r="H58" s="212"/>
      <c r="I58" s="212"/>
      <c r="J58" s="99"/>
      <c r="K58" s="121">
        <v>16</v>
      </c>
    </row>
    <row r="59" spans="1:11" ht="12.75">
      <c r="A59" s="99"/>
      <c r="B59" s="121">
        <v>0.1</v>
      </c>
      <c r="C59" s="93" t="s">
        <v>148</v>
      </c>
      <c r="D59" s="212" t="s">
        <v>150</v>
      </c>
      <c r="E59" s="212"/>
      <c r="F59" s="212"/>
      <c r="G59" s="212"/>
      <c r="H59" s="212"/>
      <c r="I59" s="212"/>
      <c r="J59" s="99"/>
      <c r="K59" s="121">
        <v>0.1</v>
      </c>
    </row>
    <row r="60" spans="1:11" ht="12.75">
      <c r="A60" s="99"/>
      <c r="B60" s="121">
        <v>0.13</v>
      </c>
      <c r="C60" s="93" t="s">
        <v>151</v>
      </c>
      <c r="D60" s="212" t="s">
        <v>153</v>
      </c>
      <c r="E60" s="212"/>
      <c r="F60" s="212"/>
      <c r="G60" s="212"/>
      <c r="H60" s="212"/>
      <c r="I60" s="212"/>
      <c r="J60" s="99"/>
      <c r="K60" s="121">
        <v>0.12</v>
      </c>
    </row>
    <row r="61" spans="1:11" ht="15.75">
      <c r="A61" s="99"/>
      <c r="B61" s="102">
        <v>-1.76</v>
      </c>
      <c r="C61" s="93" t="s">
        <v>152</v>
      </c>
      <c r="D61" s="212" t="s">
        <v>154</v>
      </c>
      <c r="E61" s="212"/>
      <c r="F61" s="212"/>
      <c r="G61" s="212"/>
      <c r="H61" s="212"/>
      <c r="I61" s="212"/>
      <c r="J61" s="99"/>
      <c r="K61" s="102">
        <v>-1.56</v>
      </c>
    </row>
    <row r="62" spans="1:11" ht="15.75">
      <c r="A62" s="99"/>
      <c r="B62" s="102">
        <v>0</v>
      </c>
      <c r="C62" s="93" t="s">
        <v>155</v>
      </c>
      <c r="D62" s="212" t="s">
        <v>95</v>
      </c>
      <c r="E62" s="212"/>
      <c r="F62" s="212"/>
      <c r="G62" s="212"/>
      <c r="H62" s="212"/>
      <c r="I62" s="212"/>
      <c r="J62" s="99"/>
      <c r="K62" s="102">
        <v>0</v>
      </c>
    </row>
    <row r="63" spans="1:11" ht="15.75">
      <c r="A63" s="99"/>
      <c r="B63" s="102">
        <v>0</v>
      </c>
      <c r="C63" s="93" t="s">
        <v>156</v>
      </c>
      <c r="D63" s="212" t="s">
        <v>157</v>
      </c>
      <c r="E63" s="212"/>
      <c r="F63" s="212"/>
      <c r="G63" s="212"/>
      <c r="H63" s="212"/>
      <c r="I63" s="212"/>
      <c r="J63" s="99"/>
      <c r="K63" s="102">
        <v>0</v>
      </c>
    </row>
    <row r="64" spans="1:11" ht="12.75">
      <c r="A64" s="99">
        <f>A57</f>
        <v>29</v>
      </c>
      <c r="B64" s="102">
        <f>SUM(B57:B63)</f>
        <v>38.800000000000004</v>
      </c>
      <c r="C64" s="90" t="s">
        <v>158</v>
      </c>
      <c r="D64" s="216" t="s">
        <v>159</v>
      </c>
      <c r="E64" s="216"/>
      <c r="F64" s="216"/>
      <c r="G64" s="216"/>
      <c r="H64" s="216"/>
      <c r="I64" s="216"/>
      <c r="J64" s="99">
        <f>J57</f>
        <v>32</v>
      </c>
      <c r="K64" s="102">
        <f>SUM(K57:K63)</f>
        <v>40.89999999999999</v>
      </c>
    </row>
    <row r="65" spans="1:11" ht="15.75">
      <c r="A65" s="99">
        <v>29</v>
      </c>
      <c r="B65" s="102">
        <v>40.65</v>
      </c>
      <c r="C65" s="90" t="s">
        <v>145</v>
      </c>
      <c r="D65" s="216" t="s">
        <v>175</v>
      </c>
      <c r="E65" s="216"/>
      <c r="F65" s="216"/>
      <c r="G65" s="216"/>
      <c r="H65" s="216"/>
      <c r="I65" s="216"/>
      <c r="J65" s="99">
        <v>32</v>
      </c>
      <c r="K65" s="102">
        <v>43.82</v>
      </c>
    </row>
    <row r="66" spans="1:11" ht="12.75">
      <c r="A66" s="99"/>
      <c r="B66" s="102">
        <f>B64-B65</f>
        <v>-1.8499999999999943</v>
      </c>
      <c r="C66" s="96" t="s">
        <v>174</v>
      </c>
      <c r="D66" s="216" t="s">
        <v>176</v>
      </c>
      <c r="E66" s="216"/>
      <c r="F66" s="216"/>
      <c r="G66" s="216"/>
      <c r="H66" s="216"/>
      <c r="I66" s="216"/>
      <c r="J66" s="99"/>
      <c r="K66" s="102">
        <f>K64-K65</f>
        <v>-2.920000000000009</v>
      </c>
    </row>
    <row r="69" ht="18.75">
      <c r="A69" s="120" t="s">
        <v>228</v>
      </c>
    </row>
    <row r="89" ht="18.75">
      <c r="A89" s="120" t="s">
        <v>229</v>
      </c>
    </row>
    <row r="90" ht="18.75">
      <c r="A90" s="120" t="s">
        <v>230</v>
      </c>
    </row>
    <row r="91" ht="18.75">
      <c r="A91" s="120" t="s">
        <v>231</v>
      </c>
    </row>
    <row r="92" ht="18.75">
      <c r="A92" s="120" t="s">
        <v>244</v>
      </c>
    </row>
    <row r="93" spans="1:4" s="123" customFormat="1" ht="12.75">
      <c r="A93" s="122" t="s">
        <v>232</v>
      </c>
      <c r="B93" s="123" t="s">
        <v>233</v>
      </c>
      <c r="C93" s="123" t="s">
        <v>241</v>
      </c>
      <c r="D93" s="123" t="s">
        <v>234</v>
      </c>
    </row>
    <row r="94" spans="1:4" s="123" customFormat="1" ht="11.25">
      <c r="A94" s="122" t="s">
        <v>235</v>
      </c>
      <c r="B94" s="123" t="s">
        <v>236</v>
      </c>
      <c r="C94" s="123" t="s">
        <v>237</v>
      </c>
      <c r="D94" s="123" t="s">
        <v>238</v>
      </c>
    </row>
    <row r="95" spans="1:4" s="123" customFormat="1" ht="12.75">
      <c r="A95" s="122" t="s">
        <v>242</v>
      </c>
      <c r="B95" s="123" t="s">
        <v>239</v>
      </c>
      <c r="C95" s="123" t="s">
        <v>243</v>
      </c>
      <c r="D95" s="123" t="s">
        <v>240</v>
      </c>
    </row>
  </sheetData>
  <sheetProtection/>
  <mergeCells count="42">
    <mergeCell ref="A4:C4"/>
    <mergeCell ref="D4:D5"/>
    <mergeCell ref="E4:G4"/>
    <mergeCell ref="H4:J4"/>
    <mergeCell ref="A9:C9"/>
    <mergeCell ref="D9:D10"/>
    <mergeCell ref="E9:G9"/>
    <mergeCell ref="H9:J9"/>
    <mergeCell ref="K4:L4"/>
    <mergeCell ref="K9:L9"/>
    <mergeCell ref="D64:I64"/>
    <mergeCell ref="D60:I60"/>
    <mergeCell ref="D61:I61"/>
    <mergeCell ref="D62:I62"/>
    <mergeCell ref="D63:I63"/>
    <mergeCell ref="D56:I56"/>
    <mergeCell ref="D57:I57"/>
    <mergeCell ref="D58:I58"/>
    <mergeCell ref="H16:I16"/>
    <mergeCell ref="J16:K16"/>
    <mergeCell ref="D65:I65"/>
    <mergeCell ref="D66:I66"/>
    <mergeCell ref="D51:I51"/>
    <mergeCell ref="D59:I59"/>
    <mergeCell ref="D52:I52"/>
    <mergeCell ref="D53:I53"/>
    <mergeCell ref="D54:I54"/>
    <mergeCell ref="D55:I55"/>
    <mergeCell ref="D25:E25"/>
    <mergeCell ref="D26:E26"/>
    <mergeCell ref="B16:C16"/>
    <mergeCell ref="D16:E16"/>
    <mergeCell ref="D27:E27"/>
    <mergeCell ref="D28:E28"/>
    <mergeCell ref="B23:C23"/>
    <mergeCell ref="B24:C24"/>
    <mergeCell ref="B25:C25"/>
    <mergeCell ref="B26:C26"/>
    <mergeCell ref="B27:C27"/>
    <mergeCell ref="B28:C28"/>
    <mergeCell ref="D23:E23"/>
    <mergeCell ref="D24:E24"/>
  </mergeCells>
  <printOptions/>
  <pageMargins left="0" right="0" top="0.984251968503937" bottom="0.984251968503937" header="0.5118110236220472" footer="0.5118110236220472"/>
  <pageSetup horizontalDpi="120" verticalDpi="120" orientation="portrait" paperSize="9" scale="97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"/>
  <sheetViews>
    <sheetView zoomScale="150" zoomScaleNormal="150" workbookViewId="0" topLeftCell="A1">
      <selection activeCell="D9" sqref="D9"/>
    </sheetView>
  </sheetViews>
  <sheetFormatPr defaultColWidth="9.140625" defaultRowHeight="12.75"/>
  <cols>
    <col min="1" max="1" width="11.421875" style="0" customWidth="1"/>
    <col min="6" max="6" width="9.00390625" style="0" customWidth="1"/>
  </cols>
  <sheetData>
    <row r="1" spans="1:25" ht="12.75">
      <c r="A1" t="s">
        <v>269</v>
      </c>
      <c r="N1" s="78">
        <v>1</v>
      </c>
      <c r="O1" s="78">
        <v>2</v>
      </c>
      <c r="P1" s="78">
        <v>3</v>
      </c>
      <c r="Q1" s="78">
        <v>4</v>
      </c>
      <c r="R1" s="78">
        <v>5</v>
      </c>
      <c r="S1" s="78">
        <v>6</v>
      </c>
      <c r="T1" s="78">
        <v>7</v>
      </c>
      <c r="U1" s="78">
        <v>8</v>
      </c>
      <c r="V1" s="78">
        <v>9</v>
      </c>
      <c r="W1" s="78">
        <v>10</v>
      </c>
      <c r="X1" s="78">
        <v>11</v>
      </c>
      <c r="Y1" s="78">
        <v>12</v>
      </c>
    </row>
    <row r="2" spans="1:25" ht="12.75">
      <c r="A2" t="s">
        <v>274</v>
      </c>
      <c r="N2" s="78">
        <v>0.3</v>
      </c>
      <c r="O2" s="78">
        <v>0.2</v>
      </c>
      <c r="P2" s="78">
        <v>0.1</v>
      </c>
      <c r="Q2" s="78">
        <v>0</v>
      </c>
      <c r="R2" s="78">
        <v>-0.2</v>
      </c>
      <c r="S2" s="78">
        <v>-0.2</v>
      </c>
      <c r="T2" s="78">
        <v>-0.2</v>
      </c>
      <c r="U2" s="78">
        <v>-0.2</v>
      </c>
      <c r="V2" s="78">
        <v>-0.1</v>
      </c>
      <c r="W2" s="78">
        <v>0.1</v>
      </c>
      <c r="X2" s="78">
        <v>0.2</v>
      </c>
      <c r="Y2" s="78">
        <v>0.3</v>
      </c>
    </row>
    <row r="3" ht="13.5" thickBot="1"/>
    <row r="4" spans="1:4" ht="13.5" thickTop="1">
      <c r="A4" s="167"/>
      <c r="B4" s="168" t="s">
        <v>0</v>
      </c>
      <c r="C4" s="168" t="s">
        <v>1</v>
      </c>
      <c r="D4" s="164" t="s">
        <v>8</v>
      </c>
    </row>
    <row r="5" spans="1:13" ht="12.75">
      <c r="A5" s="154" t="s">
        <v>13</v>
      </c>
      <c r="B5" s="46">
        <v>72</v>
      </c>
      <c r="C5" s="47"/>
      <c r="D5" s="165" t="s">
        <v>23</v>
      </c>
      <c r="E5" t="s">
        <v>164</v>
      </c>
      <c r="F5" s="146">
        <f>C5/60+B5</f>
        <v>72</v>
      </c>
      <c r="G5" s="78"/>
      <c r="M5">
        <f>HLOOKUP(B8,N1:Y2,2)</f>
        <v>0.1</v>
      </c>
    </row>
    <row r="6" spans="1:7" ht="13.5" thickBot="1">
      <c r="A6" s="154" t="s">
        <v>15</v>
      </c>
      <c r="B6" s="46">
        <v>13.9</v>
      </c>
      <c r="C6" s="153"/>
      <c r="D6" s="166" t="s">
        <v>23</v>
      </c>
      <c r="E6" t="s">
        <v>278</v>
      </c>
      <c r="F6" s="147">
        <f>IF(D6=D5,C6/60+B6,-(C6/60+B6))</f>
        <v>13.9</v>
      </c>
      <c r="G6" s="78"/>
    </row>
    <row r="7" spans="1:7" ht="13.5" thickTop="1">
      <c r="A7" s="155" t="s">
        <v>252</v>
      </c>
      <c r="B7" s="152">
        <v>12</v>
      </c>
      <c r="C7" s="160"/>
      <c r="D7" s="161"/>
      <c r="E7" t="s">
        <v>60</v>
      </c>
      <c r="F7" s="78"/>
      <c r="G7" s="78"/>
    </row>
    <row r="8" spans="1:7" ht="12.75">
      <c r="A8" s="155" t="s">
        <v>270</v>
      </c>
      <c r="B8" s="157">
        <v>3</v>
      </c>
      <c r="C8" s="162"/>
      <c r="D8" s="54"/>
      <c r="E8" t="s">
        <v>279</v>
      </c>
      <c r="F8" s="78"/>
      <c r="G8" s="78"/>
    </row>
    <row r="9" spans="1:7" ht="12.75">
      <c r="A9" s="155" t="s">
        <v>272</v>
      </c>
      <c r="B9" s="158"/>
      <c r="C9" s="162"/>
      <c r="D9" s="54"/>
      <c r="E9" t="s">
        <v>280</v>
      </c>
      <c r="F9" s="78"/>
      <c r="G9" s="78"/>
    </row>
    <row r="10" spans="1:7" ht="12.75">
      <c r="A10" s="155" t="s">
        <v>273</v>
      </c>
      <c r="B10" s="158"/>
      <c r="C10" s="169">
        <v>1</v>
      </c>
      <c r="D10" s="163"/>
      <c r="E10" t="s">
        <v>281</v>
      </c>
      <c r="F10" s="78"/>
      <c r="G10" s="78"/>
    </row>
    <row r="11" spans="1:7" ht="13.5" thickBot="1">
      <c r="A11" s="156" t="s">
        <v>275</v>
      </c>
      <c r="B11" s="159">
        <v>325.8</v>
      </c>
      <c r="C11" s="218" t="s">
        <v>271</v>
      </c>
      <c r="D11" s="219"/>
      <c r="E11" t="s">
        <v>282</v>
      </c>
      <c r="F11" s="78" t="s">
        <v>70</v>
      </c>
      <c r="G11" s="170">
        <f>-16-1.758*SQRT(B7)-(1.002/TAN(RADIANS(7.31/(4.4))))+0.144+M5</f>
        <v>-56.39237945016126</v>
      </c>
    </row>
    <row r="12" spans="2:5" ht="13.5" thickTop="1">
      <c r="B12" s="147">
        <f>DEGREES(2*ATAN(SQRT((COS(RADIANS(F5-G11/60))-SIN(RADIANS(F6)))/(COS(RADIANS(F5+G11/60))+SIN(RADIANS(F6))))))</f>
        <v>34.10725318609622</v>
      </c>
      <c r="C12" s="148" t="str">
        <f>D5</f>
        <v>N</v>
      </c>
      <c r="D12" s="78" t="str">
        <f>IF(C10=1,"E",IF(C10=2,"W","?"))</f>
        <v>E</v>
      </c>
      <c r="E12" s="149">
        <f>IF(C12="N",IF(D12="E",1,4),IF(D12="E",2,3))</f>
        <v>1</v>
      </c>
    </row>
    <row r="13" spans="2:5" ht="12.75">
      <c r="B13" s="147">
        <f>IF(E12=1,B12,IF(E12=2,180-B12,IF(E12=3,180+B12,IF(E12=4,360-B12,"?"))))</f>
        <v>34.10725318609622</v>
      </c>
      <c r="C13" s="78"/>
      <c r="D13" s="78"/>
      <c r="E13" s="78"/>
    </row>
    <row r="14" ht="13.5" thickBot="1"/>
    <row r="15" spans="2:8" ht="12.75" customHeight="1">
      <c r="B15" s="201" t="s">
        <v>20</v>
      </c>
      <c r="C15" s="202"/>
      <c r="D15" s="203"/>
      <c r="G15" s="150" t="s">
        <v>276</v>
      </c>
      <c r="H15" s="151">
        <f>B13-B11</f>
        <v>-291.6927468139038</v>
      </c>
    </row>
    <row r="16" spans="2:4" ht="12.75" customHeight="1">
      <c r="B16" s="192"/>
      <c r="C16" s="193"/>
      <c r="D16" s="194"/>
    </row>
    <row r="17" spans="2:8" ht="33.75" thickBot="1">
      <c r="B17" s="195">
        <f>B13</f>
        <v>34.10725318609622</v>
      </c>
      <c r="C17" s="196"/>
      <c r="D17" s="197"/>
      <c r="F17" s="145">
        <f>INT(B17)</f>
        <v>34</v>
      </c>
      <c r="G17" s="220">
        <f>(B17-F17)*60</f>
        <v>6.435191165773375</v>
      </c>
      <c r="H17" s="220"/>
    </row>
    <row r="20" ht="12.75">
      <c r="A20" t="s">
        <v>277</v>
      </c>
    </row>
  </sheetData>
  <sheetProtection sheet="1" objects="1" scenarios="1" formatCells="0"/>
  <mergeCells count="4">
    <mergeCell ref="C11:D11"/>
    <mergeCell ref="B15:D16"/>
    <mergeCell ref="B17:D17"/>
    <mergeCell ref="G17:H17"/>
  </mergeCells>
  <printOptions/>
  <pageMargins left="0.75" right="0.75" top="1" bottom="1" header="0.5" footer="0.5"/>
  <pageSetup horizontalDpi="120" verticalDpi="12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="150" zoomScaleNormal="150" workbookViewId="0" topLeftCell="A1">
      <selection activeCell="A6" sqref="A6"/>
    </sheetView>
  </sheetViews>
  <sheetFormatPr defaultColWidth="9.140625" defaultRowHeight="12.75"/>
  <cols>
    <col min="1" max="1" width="14.7109375" style="0" customWidth="1"/>
    <col min="2" max="2" width="7.28125" style="0" customWidth="1"/>
    <col min="4" max="4" width="10.28125" style="0" bestFit="1" customWidth="1"/>
    <col min="5" max="5" width="12.28125" style="0" customWidth="1"/>
    <col min="8" max="8" width="10.00390625" style="0" bestFit="1" customWidth="1"/>
  </cols>
  <sheetData>
    <row r="1" ht="13.5" thickBot="1">
      <c r="A1" s="7"/>
    </row>
    <row r="2" spans="1:9" ht="13.5" thickBot="1">
      <c r="A2" s="41" t="s">
        <v>0</v>
      </c>
      <c r="B2" s="44" t="s">
        <v>1</v>
      </c>
      <c r="C2" s="44" t="s">
        <v>2</v>
      </c>
      <c r="D2" s="33"/>
      <c r="E2" s="41" t="s">
        <v>0</v>
      </c>
      <c r="F2" s="13"/>
      <c r="G2" s="30" t="s">
        <v>18</v>
      </c>
      <c r="H2" s="20" t="s">
        <v>3</v>
      </c>
      <c r="I2" s="4" t="s">
        <v>4</v>
      </c>
    </row>
    <row r="3" spans="1:9" ht="13.5" thickBot="1">
      <c r="A3" s="141">
        <v>29</v>
      </c>
      <c r="B3" s="45">
        <v>7.2</v>
      </c>
      <c r="C3" s="137">
        <v>0</v>
      </c>
      <c r="D3" s="43" t="s">
        <v>7</v>
      </c>
      <c r="E3" s="136">
        <f>C3/3600+B3/60+A3</f>
        <v>29.12</v>
      </c>
      <c r="F3" s="13"/>
      <c r="G3" s="144">
        <v>30</v>
      </c>
      <c r="H3" s="39">
        <f>SIN(G3*PI()/180)</f>
        <v>0.49999999999999994</v>
      </c>
      <c r="I3" s="22">
        <f>COS(G3*PI()/180)</f>
        <v>0.8660254037844387</v>
      </c>
    </row>
    <row r="4" spans="1:11" ht="13.5" thickBot="1">
      <c r="A4" s="13"/>
      <c r="B4" s="13"/>
      <c r="C4" s="13"/>
      <c r="D4" s="13"/>
      <c r="E4" s="13"/>
      <c r="F4" s="13"/>
      <c r="G4" s="25"/>
      <c r="H4" s="19" t="s">
        <v>5</v>
      </c>
      <c r="I4" s="24" t="s">
        <v>6</v>
      </c>
      <c r="J4" s="13"/>
      <c r="K4" s="13"/>
    </row>
    <row r="5" spans="1:11" ht="13.5" thickBot="1">
      <c r="A5" s="41" t="s">
        <v>0</v>
      </c>
      <c r="B5" s="33"/>
      <c r="C5" s="20" t="str">
        <f>A2</f>
        <v>Degrees</v>
      </c>
      <c r="D5" s="20" t="str">
        <f>B2</f>
        <v>Minutes</v>
      </c>
      <c r="E5" s="4" t="str">
        <f>C2</f>
        <v>Secondes</v>
      </c>
      <c r="F5" s="13"/>
      <c r="G5" s="31"/>
      <c r="H5" s="23">
        <f>TAN(G3*PI()/180)</f>
        <v>0.5773502691896257</v>
      </c>
      <c r="I5" s="21">
        <f>1/H5</f>
        <v>1.7320508075688774</v>
      </c>
      <c r="J5" s="13"/>
      <c r="K5" s="13"/>
    </row>
    <row r="6" spans="1:11" ht="13.5" thickBot="1">
      <c r="A6" s="136">
        <v>280.91783333333336</v>
      </c>
      <c r="B6" s="40" t="s">
        <v>7</v>
      </c>
      <c r="C6" s="142">
        <f>INT(A6)</f>
        <v>280</v>
      </c>
      <c r="D6" s="138">
        <f>INT(MOD(A6,1)*60)</f>
        <v>55</v>
      </c>
      <c r="E6" s="139">
        <f>((MOD(A6,1)*60)-INT(MOD(A6,1)*60))*60</f>
        <v>4.2000000001053195</v>
      </c>
      <c r="F6" s="13"/>
      <c r="G6" s="13"/>
      <c r="H6" s="13"/>
      <c r="I6" s="13"/>
      <c r="J6" s="13"/>
      <c r="K6" s="13"/>
    </row>
    <row r="7" spans="1:11" ht="12.75">
      <c r="A7" s="42"/>
      <c r="B7" s="34"/>
      <c r="C7" s="38" t="str">
        <f>C5</f>
        <v>Degrees</v>
      </c>
      <c r="D7" s="38" t="str">
        <f>D5</f>
        <v>Minutes</v>
      </c>
      <c r="E7" s="36"/>
      <c r="F7" s="13"/>
      <c r="G7" s="13"/>
      <c r="H7" s="13"/>
      <c r="I7" s="13"/>
      <c r="J7" s="13"/>
      <c r="K7" s="13"/>
    </row>
    <row r="8" spans="1:11" ht="13.5" thickBot="1">
      <c r="A8" s="32"/>
      <c r="B8" s="35" t="s">
        <v>7</v>
      </c>
      <c r="C8" s="143">
        <f>INT(A6)</f>
        <v>280</v>
      </c>
      <c r="D8" s="140">
        <f>(MOD(A6,1)*60)</f>
        <v>55.070000000001755</v>
      </c>
      <c r="E8" s="37"/>
      <c r="F8" s="13"/>
      <c r="G8" s="13"/>
      <c r="H8" s="13"/>
      <c r="I8" s="13"/>
      <c r="J8" s="13"/>
      <c r="K8" s="13"/>
    </row>
    <row r="9" spans="1:11" ht="13.5" thickBot="1">
      <c r="A9" s="18"/>
      <c r="B9" s="18"/>
      <c r="C9" s="12"/>
      <c r="D9" s="12"/>
      <c r="E9" s="18"/>
      <c r="F9" s="13"/>
      <c r="G9" s="13"/>
      <c r="H9" s="13"/>
      <c r="I9" s="13"/>
      <c r="J9" s="13"/>
      <c r="K9" s="13"/>
    </row>
    <row r="10" spans="1:3" ht="13.5" thickBot="1">
      <c r="A10" s="41" t="s">
        <v>0</v>
      </c>
      <c r="C10" s="41" t="s">
        <v>0</v>
      </c>
    </row>
    <row r="11" spans="1:3" ht="13.5" thickBot="1">
      <c r="A11" s="179">
        <v>8030.82</v>
      </c>
      <c r="B11" s="35" t="s">
        <v>7</v>
      </c>
      <c r="C11" s="180">
        <f>A11-INT(A11/360)*360</f>
        <v>110.81999999999971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M/V AmbitiousF</Manager>
  <Company> Interorient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Nautical tables</dc:title>
  <dc:subject/>
  <dc:creator>OLEG BORISKIN</dc:creator>
  <cp:keywords>Declination, Azimuth, Elevation, Celestial, Horizon, Latitude, LHA, GHA, True, Sun,Dip, Refraction, Parallax, Altitude</cp:keywords>
  <dc:description/>
  <cp:lastModifiedBy>Oleg</cp:lastModifiedBy>
  <cp:lastPrinted>2006-06-15T16:56:13Z</cp:lastPrinted>
  <dcterms:created xsi:type="dcterms:W3CDTF">2005-03-05T19:08:25Z</dcterms:created>
  <dcterms:modified xsi:type="dcterms:W3CDTF">2007-08-20T11:33:57Z</dcterms:modified>
  <cp:category/>
  <cp:version/>
  <cp:contentType/>
  <cp:contentStatus/>
</cp:coreProperties>
</file>