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95" windowHeight="9210" activeTab="2"/>
  </bookViews>
  <sheets>
    <sheet name="Лист2" sheetId="1" r:id="rId1"/>
    <sheet name="Ports" sheetId="2" r:id="rId2"/>
    <sheet name="Example" sheetId="3" r:id="rId3"/>
  </sheets>
  <definedNames>
    <definedName name="PORTS">'Лист2'!$V$2:$W$100</definedName>
  </definedNames>
  <calcPr fullCalcOnLoad="1"/>
</workbook>
</file>

<file path=xl/sharedStrings.xml><?xml version="1.0" encoding="utf-8"?>
<sst xmlns="http://schemas.openxmlformats.org/spreadsheetml/2006/main" count="208" uniqueCount="77">
  <si>
    <t>SIMPLIFIED HARMONIC METHOD OF TIDAL PREDICTION</t>
  </si>
  <si>
    <t>No</t>
  </si>
  <si>
    <t>PLACE</t>
  </si>
  <si>
    <t>Zone</t>
  </si>
  <si>
    <t>ML</t>
  </si>
  <si>
    <t>m</t>
  </si>
  <si>
    <t>HARMONIC CONSTANTS</t>
  </si>
  <si>
    <r>
      <t>Z</t>
    </r>
    <r>
      <rPr>
        <vertAlign val="subscript"/>
        <sz val="10"/>
        <rFont val="Times New Roman"/>
        <family val="1"/>
      </rPr>
      <t>0</t>
    </r>
  </si>
  <si>
    <r>
      <t>M</t>
    </r>
    <r>
      <rPr>
        <vertAlign val="subscript"/>
        <sz val="10"/>
        <rFont val="Times New Roman"/>
        <family val="1"/>
      </rPr>
      <t>2</t>
    </r>
  </si>
  <si>
    <r>
      <t>S</t>
    </r>
    <r>
      <rPr>
        <vertAlign val="subscript"/>
        <sz val="10"/>
        <rFont val="Times New Roman"/>
        <family val="1"/>
      </rPr>
      <t>2</t>
    </r>
  </si>
  <si>
    <t>H.m.</t>
  </si>
  <si>
    <r>
      <t>K</t>
    </r>
    <r>
      <rPr>
        <vertAlign val="subscript"/>
        <sz val="10"/>
        <rFont val="Times New Roman"/>
        <family val="1"/>
      </rPr>
      <t>1</t>
    </r>
  </si>
  <si>
    <r>
      <t>O</t>
    </r>
    <r>
      <rPr>
        <vertAlign val="subscript"/>
        <sz val="10"/>
        <rFont val="Times New Roman"/>
        <family val="1"/>
      </rPr>
      <t>1</t>
    </r>
  </si>
  <si>
    <r>
      <t>g</t>
    </r>
    <r>
      <rPr>
        <vertAlign val="superscript"/>
        <sz val="10"/>
        <rFont val="Times New Roman"/>
        <family val="1"/>
      </rPr>
      <t>0</t>
    </r>
  </si>
  <si>
    <t>S.W. CORRECTIONS</t>
  </si>
  <si>
    <t>¼ djurnal</t>
  </si>
  <si>
    <t>1/6 djurnal</t>
  </si>
  <si>
    <r>
      <t>f</t>
    </r>
    <r>
      <rPr>
        <vertAlign val="subscript"/>
        <sz val="10"/>
        <rFont val="Times New Roman"/>
        <family val="1"/>
      </rPr>
      <t>4</t>
    </r>
  </si>
  <si>
    <r>
      <t>F</t>
    </r>
    <r>
      <rPr>
        <vertAlign val="subscript"/>
        <sz val="10"/>
        <rFont val="Times New Roman"/>
        <family val="1"/>
      </rPr>
      <t>4</t>
    </r>
  </si>
  <si>
    <r>
      <t>f</t>
    </r>
    <r>
      <rPr>
        <vertAlign val="subscript"/>
        <sz val="10"/>
        <rFont val="Times New Roman"/>
        <family val="1"/>
      </rPr>
      <t>6</t>
    </r>
  </si>
  <si>
    <r>
      <t>F</t>
    </r>
    <r>
      <rPr>
        <vertAlign val="subscript"/>
        <sz val="10"/>
        <rFont val="Times New Roman"/>
        <family val="1"/>
      </rPr>
      <t>6</t>
    </r>
  </si>
  <si>
    <t>PORT MORESBY</t>
  </si>
  <si>
    <t>TIDAL ANGLES AND FACTORS</t>
  </si>
  <si>
    <t>YEAR:</t>
  </si>
  <si>
    <t>MONTH:</t>
  </si>
  <si>
    <t>DAY</t>
  </si>
  <si>
    <t>A</t>
  </si>
  <si>
    <t>F</t>
  </si>
  <si>
    <t>Seasonal correction</t>
  </si>
  <si>
    <t>ML(Mean level)</t>
  </si>
  <si>
    <t>A1</t>
  </si>
  <si>
    <t>A2</t>
  </si>
  <si>
    <t>A1-A2</t>
  </si>
  <si>
    <t>360*n</t>
  </si>
  <si>
    <t>p/24</t>
  </si>
  <si>
    <t>(A1-A2)+360*n=p</t>
  </si>
  <si>
    <t>September</t>
  </si>
  <si>
    <t>g</t>
  </si>
  <si>
    <t>A1+g</t>
  </si>
  <si>
    <t>F2</t>
  </si>
  <si>
    <t>F1</t>
  </si>
  <si>
    <t>F2-F1=P</t>
  </si>
  <si>
    <t>P/24</t>
  </si>
  <si>
    <t>Time = T</t>
  </si>
  <si>
    <t>TIME:</t>
  </si>
  <si>
    <t>p/24 x T</t>
  </si>
  <si>
    <r>
      <t>Z</t>
    </r>
    <r>
      <rPr>
        <vertAlign val="subscript"/>
        <sz val="12"/>
        <rFont val="Times New Roman"/>
        <family val="1"/>
      </rPr>
      <t>0</t>
    </r>
  </si>
  <si>
    <t>(A1+g) - p x T/24 = Θ</t>
  </si>
  <si>
    <t>sin Θ</t>
  </si>
  <si>
    <t>cos Θ</t>
  </si>
  <si>
    <t>n</t>
  </si>
  <si>
    <t>F1 + P x T / 24 = Ft</t>
  </si>
  <si>
    <t>P/24xT</t>
  </si>
  <si>
    <t>H</t>
  </si>
  <si>
    <t>H x Ft</t>
  </si>
  <si>
    <t>(H x Ft) x sin Θ</t>
  </si>
  <si>
    <t>(H x Ft) x cos Θ</t>
  </si>
  <si>
    <t>r       |       R</t>
  </si>
  <si>
    <r>
      <t>2r     |     R</t>
    </r>
    <r>
      <rPr>
        <vertAlign val="superscript"/>
        <sz val="12"/>
        <rFont val="Times New Roman"/>
        <family val="1"/>
      </rPr>
      <t>2</t>
    </r>
  </si>
  <si>
    <t>f4     |     F4</t>
  </si>
  <si>
    <t>R x Sin r    |    R x Cos r</t>
  </si>
  <si>
    <r>
      <t>2r + f4 = d4     |     R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x F4 = D4</t>
    </r>
  </si>
  <si>
    <r>
      <t>3r     |     R</t>
    </r>
    <r>
      <rPr>
        <vertAlign val="superscript"/>
        <sz val="12"/>
        <rFont val="Times New Roman"/>
        <family val="1"/>
      </rPr>
      <t>3</t>
    </r>
  </si>
  <si>
    <t>f6     |     F6</t>
  </si>
  <si>
    <r>
      <t>3r + f6 = d6     |     R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x F6 = D6</t>
    </r>
  </si>
  <si>
    <t>‡</t>
  </si>
  <si>
    <t>§</t>
  </si>
  <si>
    <t>D4Cos d4</t>
  </si>
  <si>
    <t>D6Cos d6</t>
  </si>
  <si>
    <t>Height of tide</t>
  </si>
  <si>
    <t>SYDNEY</t>
  </si>
  <si>
    <t>PORT ADELAIDE</t>
  </si>
  <si>
    <t>VLADIVOSTOK</t>
  </si>
  <si>
    <t>Example</t>
  </si>
  <si>
    <t>Shallow Water CORRECTIONS</t>
  </si>
  <si>
    <t>BALBOA</t>
  </si>
  <si>
    <t>SOUTHAMPTON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</si>
</sst>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[$-419]mmmm;@"/>
    <numFmt numFmtId="170" formatCode="000"/>
    <numFmt numFmtId="171" formatCode="00"/>
    <numFmt numFmtId="172" formatCode="0000"/>
    <numFmt numFmtId="173" formatCode="00.00"/>
  </numFmts>
  <fonts count="16">
    <font>
      <sz val="10"/>
      <name val="Arial Cyr"/>
      <family val="0"/>
    </font>
    <font>
      <sz val="10"/>
      <name val="Times New Roman"/>
      <family val="1"/>
    </font>
    <font>
      <vertAlign val="subscript"/>
      <sz val="10"/>
      <name val="Times New Roman"/>
      <family val="1"/>
    </font>
    <font>
      <vertAlign val="superscript"/>
      <sz val="10"/>
      <name val="Times New Roman"/>
      <family val="1"/>
    </font>
    <font>
      <b/>
      <sz val="10"/>
      <color indexed="18"/>
      <name val="Times New Roman"/>
      <family val="1"/>
    </font>
    <font>
      <b/>
      <sz val="18"/>
      <name val="Times New Roman"/>
      <family val="1"/>
    </font>
    <font>
      <b/>
      <sz val="2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vertAlign val="subscript"/>
      <sz val="12"/>
      <name val="Times New Roman"/>
      <family val="1"/>
    </font>
    <font>
      <vertAlign val="superscript"/>
      <sz val="12"/>
      <name val="Times New Roman"/>
      <family val="1"/>
    </font>
    <font>
      <b/>
      <sz val="16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b/>
      <sz val="12"/>
      <name val="Times New Roman"/>
      <family val="1"/>
    </font>
    <font>
      <sz val="8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 diagonalUp="1"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/>
    </xf>
    <xf numFmtId="0" fontId="4" fillId="3" borderId="1" xfId="0" applyFont="1" applyFill="1" applyBorder="1" applyAlignment="1" applyProtection="1">
      <alignment horizontal="center" vertical="center"/>
      <protection locked="0"/>
    </xf>
    <xf numFmtId="2" fontId="4" fillId="3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4" fillId="3" borderId="1" xfId="0" applyFont="1" applyFill="1" applyBorder="1" applyAlignment="1" applyProtection="1">
      <alignment horizontal="center" vertical="center"/>
      <protection/>
    </xf>
    <xf numFmtId="0" fontId="4" fillId="3" borderId="1" xfId="0" applyFont="1" applyFill="1" applyBorder="1" applyAlignment="1">
      <alignment horizontal="center"/>
    </xf>
    <xf numFmtId="169" fontId="4" fillId="3" borderId="1" xfId="0" applyNumberFormat="1" applyFont="1" applyFill="1" applyBorder="1" applyAlignment="1">
      <alignment horizontal="center"/>
    </xf>
    <xf numFmtId="170" fontId="4" fillId="3" borderId="1" xfId="0" applyNumberFormat="1" applyFont="1" applyFill="1" applyBorder="1" applyAlignment="1" applyProtection="1">
      <alignment horizontal="center" vertical="center"/>
      <protection/>
    </xf>
    <xf numFmtId="171" fontId="4" fillId="3" borderId="1" xfId="0" applyNumberFormat="1" applyFont="1" applyFill="1" applyBorder="1" applyAlignment="1" applyProtection="1">
      <alignment horizontal="center" vertical="center"/>
      <protection/>
    </xf>
    <xf numFmtId="172" fontId="4" fillId="3" borderId="1" xfId="0" applyNumberFormat="1" applyFont="1" applyFill="1" applyBorder="1" applyAlignment="1" applyProtection="1">
      <alignment horizontal="center"/>
      <protection locked="0"/>
    </xf>
    <xf numFmtId="169" fontId="4" fillId="3" borderId="1" xfId="0" applyNumberFormat="1" applyFont="1" applyFill="1" applyBorder="1" applyAlignment="1" applyProtection="1">
      <alignment horizontal="center"/>
      <protection locked="0"/>
    </xf>
    <xf numFmtId="171" fontId="4" fillId="3" borderId="1" xfId="0" applyNumberFormat="1" applyFont="1" applyFill="1" applyBorder="1" applyAlignment="1" applyProtection="1">
      <alignment horizontal="center" vertical="center"/>
      <protection locked="0"/>
    </xf>
    <xf numFmtId="170" fontId="4" fillId="3" borderId="1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>
      <alignment horizontal="left"/>
    </xf>
    <xf numFmtId="0" fontId="8" fillId="0" borderId="0" xfId="0" applyFont="1" applyAlignment="1">
      <alignment/>
    </xf>
    <xf numFmtId="0" fontId="8" fillId="2" borderId="1" xfId="0" applyFont="1" applyFill="1" applyBorder="1" applyAlignment="1">
      <alignment horizontal="center"/>
    </xf>
    <xf numFmtId="170" fontId="8" fillId="0" borderId="0" xfId="0" applyNumberFormat="1" applyFont="1" applyAlignment="1">
      <alignment/>
    </xf>
    <xf numFmtId="172" fontId="8" fillId="0" borderId="0" xfId="0" applyNumberFormat="1" applyFont="1" applyAlignment="1">
      <alignment/>
    </xf>
    <xf numFmtId="0" fontId="8" fillId="0" borderId="2" xfId="0" applyFont="1" applyBorder="1" applyAlignment="1">
      <alignment/>
    </xf>
    <xf numFmtId="0" fontId="8" fillId="0" borderId="0" xfId="0" applyFont="1" applyAlignment="1">
      <alignment horizontal="center"/>
    </xf>
    <xf numFmtId="0" fontId="11" fillId="0" borderId="0" xfId="0" applyFont="1" applyAlignment="1">
      <alignment/>
    </xf>
    <xf numFmtId="0" fontId="1" fillId="2" borderId="1" xfId="0" applyFont="1" applyFill="1" applyBorder="1" applyAlignment="1">
      <alignment horizontal="center" vertical="center"/>
    </xf>
    <xf numFmtId="0" fontId="8" fillId="0" borderId="0" xfId="0" applyFont="1" applyBorder="1" applyAlignment="1">
      <alignment/>
    </xf>
    <xf numFmtId="0" fontId="8" fillId="0" borderId="3" xfId="0" applyFont="1" applyBorder="1" applyAlignment="1">
      <alignment/>
    </xf>
    <xf numFmtId="0" fontId="8" fillId="0" borderId="4" xfId="0" applyFont="1" applyBorder="1" applyAlignment="1">
      <alignment/>
    </xf>
    <xf numFmtId="0" fontId="8" fillId="0" borderId="5" xfId="0" applyFont="1" applyBorder="1" applyAlignment="1">
      <alignment/>
    </xf>
    <xf numFmtId="0" fontId="11" fillId="0" borderId="6" xfId="0" applyFont="1" applyBorder="1" applyAlignment="1">
      <alignment/>
    </xf>
    <xf numFmtId="0" fontId="8" fillId="0" borderId="7" xfId="0" applyFont="1" applyBorder="1" applyAlignment="1">
      <alignment/>
    </xf>
    <xf numFmtId="0" fontId="1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8" xfId="0" applyFont="1" applyBorder="1" applyAlignment="1">
      <alignment/>
    </xf>
    <xf numFmtId="0" fontId="8" fillId="0" borderId="9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2" xfId="0" applyFont="1" applyBorder="1" applyAlignment="1">
      <alignment/>
    </xf>
    <xf numFmtId="0" fontId="11" fillId="0" borderId="13" xfId="0" applyFont="1" applyBorder="1" applyAlignment="1">
      <alignment/>
    </xf>
    <xf numFmtId="0" fontId="14" fillId="0" borderId="6" xfId="0" applyFont="1" applyBorder="1" applyAlignment="1">
      <alignment/>
    </xf>
    <xf numFmtId="0" fontId="8" fillId="0" borderId="5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8" fillId="3" borderId="1" xfId="0" applyFont="1" applyFill="1" applyBorder="1" applyAlignment="1" applyProtection="1">
      <alignment/>
      <protection locked="0"/>
    </xf>
    <xf numFmtId="0" fontId="8" fillId="0" borderId="14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16" xfId="0" applyFont="1" applyBorder="1" applyAlignment="1">
      <alignment/>
    </xf>
    <xf numFmtId="0" fontId="8" fillId="0" borderId="17" xfId="0" applyFont="1" applyBorder="1" applyAlignment="1">
      <alignment/>
    </xf>
    <xf numFmtId="0" fontId="8" fillId="0" borderId="18" xfId="0" applyFont="1" applyBorder="1" applyAlignment="1">
      <alignment/>
    </xf>
    <xf numFmtId="0" fontId="8" fillId="0" borderId="19" xfId="0" applyFont="1" applyBorder="1" applyAlignment="1">
      <alignment/>
    </xf>
    <xf numFmtId="0" fontId="8" fillId="0" borderId="20" xfId="0" applyFont="1" applyBorder="1" applyAlignment="1">
      <alignment/>
    </xf>
    <xf numFmtId="0" fontId="8" fillId="0" borderId="21" xfId="0" applyFont="1" applyBorder="1" applyAlignment="1">
      <alignment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22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00"/>
  <sheetViews>
    <sheetView workbookViewId="0" topLeftCell="A1">
      <selection activeCell="B8" sqref="B8"/>
    </sheetView>
  </sheetViews>
  <sheetFormatPr defaultColWidth="9.00390625" defaultRowHeight="12.75"/>
  <cols>
    <col min="1" max="1" width="9.125" style="1" customWidth="1"/>
    <col min="2" max="2" width="35.25390625" style="1" customWidth="1"/>
    <col min="3" max="3" width="8.125" style="1" customWidth="1"/>
    <col min="4" max="4" width="7.125" style="1" customWidth="1"/>
    <col min="5" max="16384" width="9.125" style="1" customWidth="1"/>
  </cols>
  <sheetData>
    <row r="1" spans="1:7" ht="33.75" customHeight="1">
      <c r="A1" s="6"/>
      <c r="G1" s="7" t="s">
        <v>0</v>
      </c>
    </row>
    <row r="2" spans="1:23" ht="12.75">
      <c r="A2" s="59" t="s">
        <v>1</v>
      </c>
      <c r="B2" s="59" t="s">
        <v>2</v>
      </c>
      <c r="C2" s="59" t="s">
        <v>3</v>
      </c>
      <c r="D2" s="2" t="s">
        <v>4</v>
      </c>
      <c r="E2" s="58" t="s">
        <v>6</v>
      </c>
      <c r="F2" s="58"/>
      <c r="G2" s="58"/>
      <c r="H2" s="58"/>
      <c r="I2" s="3"/>
      <c r="J2" s="3"/>
      <c r="K2" s="3"/>
      <c r="L2" s="3"/>
      <c r="M2" s="58" t="s">
        <v>74</v>
      </c>
      <c r="N2" s="58"/>
      <c r="O2" s="58"/>
      <c r="P2" s="58"/>
      <c r="V2" s="37">
        <f>IF(Ports!A5="","",Ports!A5)</f>
        <v>5558</v>
      </c>
      <c r="W2" s="37" t="str">
        <f>IF(Ports!B5="","",Ports!B5)</f>
        <v>PORT MORESBY</v>
      </c>
    </row>
    <row r="3" spans="1:23" ht="14.25">
      <c r="A3" s="59"/>
      <c r="B3" s="59"/>
      <c r="C3" s="59"/>
      <c r="D3" s="2" t="s">
        <v>7</v>
      </c>
      <c r="E3" s="58" t="s">
        <v>8</v>
      </c>
      <c r="F3" s="58"/>
      <c r="G3" s="58" t="s">
        <v>9</v>
      </c>
      <c r="H3" s="58"/>
      <c r="I3" s="58" t="s">
        <v>11</v>
      </c>
      <c r="J3" s="58"/>
      <c r="K3" s="58" t="s">
        <v>12</v>
      </c>
      <c r="L3" s="58"/>
      <c r="M3" s="58" t="s">
        <v>15</v>
      </c>
      <c r="N3" s="58"/>
      <c r="O3" s="58" t="s">
        <v>16</v>
      </c>
      <c r="P3" s="58"/>
      <c r="V3" s="37">
        <f>IF(Ports!A6="","",Ports!A6)</f>
        <v>6037</v>
      </c>
      <c r="W3" s="37" t="str">
        <f>IF(Ports!B6="","",Ports!B6)</f>
        <v>SYDNEY</v>
      </c>
    </row>
    <row r="4" spans="1:23" ht="16.5">
      <c r="A4" s="59"/>
      <c r="B4" s="59"/>
      <c r="C4" s="59"/>
      <c r="D4" s="2" t="s">
        <v>5</v>
      </c>
      <c r="E4" s="2" t="s">
        <v>13</v>
      </c>
      <c r="F4" s="2" t="s">
        <v>10</v>
      </c>
      <c r="G4" s="2" t="s">
        <v>13</v>
      </c>
      <c r="H4" s="2" t="s">
        <v>10</v>
      </c>
      <c r="I4" s="2" t="s">
        <v>13</v>
      </c>
      <c r="J4" s="2" t="s">
        <v>10</v>
      </c>
      <c r="K4" s="2" t="s">
        <v>13</v>
      </c>
      <c r="L4" s="2" t="s">
        <v>10</v>
      </c>
      <c r="M4" s="2" t="s">
        <v>17</v>
      </c>
      <c r="N4" s="2" t="s">
        <v>18</v>
      </c>
      <c r="O4" s="2" t="s">
        <v>19</v>
      </c>
      <c r="P4" s="2" t="s">
        <v>20</v>
      </c>
      <c r="V4" s="37">
        <f>IF(Ports!A7="","",Ports!A7)</f>
        <v>6160</v>
      </c>
      <c r="W4" s="37" t="str">
        <f>IF(Ports!B7="","",Ports!B7)</f>
        <v>PORT ADELAIDE</v>
      </c>
    </row>
    <row r="5" spans="1:23" ht="15" customHeight="1">
      <c r="A5" s="4">
        <f>VLOOKUP(B5,Ports!B5:Q100,16,FALSE)</f>
        <v>5558</v>
      </c>
      <c r="B5" s="4" t="s">
        <v>21</v>
      </c>
      <c r="C5" s="5">
        <f>VLOOKUP($B$5,Ports!$B$5:$Q$100,2,FALSE)</f>
        <v>-10</v>
      </c>
      <c r="D5" s="4">
        <f>VLOOKUP($B$5,Ports!$B$5:$Q$100,3,FALSE)</f>
        <v>1.42</v>
      </c>
      <c r="E5" s="4">
        <f>VLOOKUP($B$5,Ports!$B$5:$Q$100,4,FALSE)</f>
        <v>279</v>
      </c>
      <c r="F5" s="4">
        <f>VLOOKUP($B$5,Ports!$B$5:$Q$100,5,FALSE)</f>
        <v>0.49</v>
      </c>
      <c r="G5" s="4">
        <f>VLOOKUP($B$5,Ports!$B$5:$Q$100,6,FALSE)</f>
        <v>250</v>
      </c>
      <c r="H5" s="4">
        <f>VLOOKUP($B$5,Ports!$B$5:$Q$100,7,FALSE)</f>
        <v>0.29</v>
      </c>
      <c r="I5" s="4">
        <f>VLOOKUP($B$5,Ports!$B$5:$Q$100,8,FALSE)</f>
        <v>194</v>
      </c>
      <c r="J5" s="4">
        <f>VLOOKUP($B$5,Ports!$B$5:$Q$100,9,FALSE)</f>
        <v>0.28</v>
      </c>
      <c r="K5" s="4">
        <f>VLOOKUP($B$5,Ports!$B$5:$Q$100,10,FALSE)</f>
        <v>153</v>
      </c>
      <c r="L5" s="4">
        <f>VLOOKUP($B$5,Ports!$B$5:$Q$100,11,FALSE)</f>
        <v>0.14</v>
      </c>
      <c r="M5" s="4">
        <f>VLOOKUP($B$5,Ports!$B$5:$Q$100,12,FALSE)</f>
        <v>210</v>
      </c>
      <c r="N5" s="4">
        <f>VLOOKUP($B$5,Ports!$B$5:$Q$100,13,FALSE)</f>
        <v>0.011</v>
      </c>
      <c r="O5" s="4">
        <f>VLOOKUP($B$5,Ports!$B$5:$Q$100,14,FALSE)</f>
        <v>79</v>
      </c>
      <c r="P5" s="4">
        <f>VLOOKUP($B$5,Ports!$B$5:$Q$100,15,FALSE)</f>
        <v>0.009</v>
      </c>
      <c r="V5" s="37">
        <f>IF(Ports!A8="","",Ports!A8)</f>
        <v>8154</v>
      </c>
      <c r="W5" s="37" t="str">
        <f>IF(Ports!B8="","",Ports!B8)</f>
        <v>VLADIVOSTOK</v>
      </c>
    </row>
    <row r="6" spans="22:23" ht="15" customHeight="1">
      <c r="V6" s="37">
        <f>IF(Ports!A9="","",Ports!A9)</f>
        <v>9487</v>
      </c>
      <c r="W6" s="37" t="str">
        <f>IF(Ports!B9="","",Ports!B9)</f>
        <v>BALBOA</v>
      </c>
    </row>
    <row r="7" spans="4:23" ht="15" customHeight="1">
      <c r="D7" s="60" t="s">
        <v>22</v>
      </c>
      <c r="E7" s="60"/>
      <c r="F7" s="60"/>
      <c r="G7" s="60"/>
      <c r="H7" s="60"/>
      <c r="N7" s="2" t="s">
        <v>44</v>
      </c>
      <c r="O7" s="13">
        <v>100</v>
      </c>
      <c r="V7" s="37">
        <f>IF(Ports!A10="","",Ports!A10)</f>
        <v>62</v>
      </c>
      <c r="W7" s="37" t="str">
        <f>IF(Ports!B10="","",Ports!B10)</f>
        <v>SOUTHAMPTON</v>
      </c>
    </row>
    <row r="8" spans="4:23" ht="15" customHeight="1">
      <c r="D8" s="61" t="s">
        <v>25</v>
      </c>
      <c r="E8" s="58" t="s">
        <v>8</v>
      </c>
      <c r="F8" s="58"/>
      <c r="G8" s="58" t="s">
        <v>9</v>
      </c>
      <c r="H8" s="58"/>
      <c r="I8" s="58" t="s">
        <v>11</v>
      </c>
      <c r="J8" s="58"/>
      <c r="K8" s="58" t="s">
        <v>12</v>
      </c>
      <c r="L8" s="58"/>
      <c r="V8" s="37">
        <f>IF(Ports!A11="","",Ports!A11)</f>
      </c>
      <c r="W8" s="37" t="str">
        <f>IF(Ports!B11="","",Ports!B11)</f>
        <v>Example</v>
      </c>
    </row>
    <row r="9" spans="4:23" ht="15" customHeight="1">
      <c r="D9" s="62"/>
      <c r="E9" s="2" t="s">
        <v>26</v>
      </c>
      <c r="F9" s="2" t="s">
        <v>27</v>
      </c>
      <c r="G9" s="2" t="s">
        <v>26</v>
      </c>
      <c r="H9" s="2" t="s">
        <v>27</v>
      </c>
      <c r="I9" s="2" t="s">
        <v>26</v>
      </c>
      <c r="J9" s="2" t="s">
        <v>27</v>
      </c>
      <c r="K9" s="2" t="s">
        <v>26</v>
      </c>
      <c r="L9" s="2" t="s">
        <v>27</v>
      </c>
      <c r="N9" s="2" t="s">
        <v>24</v>
      </c>
      <c r="O9" s="10">
        <v>1</v>
      </c>
      <c r="V9" s="37">
        <f>IF(Ports!A12="","",Ports!A12)</f>
      </c>
      <c r="W9" s="37">
        <f>IF(Ports!B12="","",Ports!B12)</f>
      </c>
    </row>
    <row r="10" spans="4:23" ht="15" customHeight="1">
      <c r="D10" s="12">
        <v>1</v>
      </c>
      <c r="E10" s="11">
        <v>21</v>
      </c>
      <c r="F10" s="8">
        <v>1.12</v>
      </c>
      <c r="G10" s="11">
        <v>9</v>
      </c>
      <c r="H10" s="8">
        <v>0.73</v>
      </c>
      <c r="I10" s="11">
        <v>357</v>
      </c>
      <c r="J10" s="8">
        <v>1.49</v>
      </c>
      <c r="K10" s="11">
        <v>33</v>
      </c>
      <c r="L10" s="8">
        <v>1.44</v>
      </c>
      <c r="V10" s="37">
        <f>IF(Ports!A13="","",Ports!A13)</f>
      </c>
      <c r="W10" s="37">
        <f>IF(Ports!B13="","",Ports!B13)</f>
      </c>
    </row>
    <row r="11" spans="4:23" ht="15" customHeight="1">
      <c r="D11" s="12">
        <v>2</v>
      </c>
      <c r="E11" s="11">
        <v>48</v>
      </c>
      <c r="F11" s="8">
        <v>1.14</v>
      </c>
      <c r="G11" s="11">
        <v>10</v>
      </c>
      <c r="H11" s="8">
        <v>0.73</v>
      </c>
      <c r="I11" s="11">
        <v>356</v>
      </c>
      <c r="J11" s="8">
        <v>1.49</v>
      </c>
      <c r="K11" s="11">
        <v>61</v>
      </c>
      <c r="L11" s="8">
        <v>1.45</v>
      </c>
      <c r="N11" s="2" t="s">
        <v>23</v>
      </c>
      <c r="O11" s="9">
        <v>2006</v>
      </c>
      <c r="V11" s="37">
        <f>IF(Ports!A14="","",Ports!A14)</f>
      </c>
      <c r="W11" s="37">
        <f>IF(Ports!B14="","",Ports!B14)</f>
      </c>
    </row>
    <row r="12" spans="22:23" ht="15" customHeight="1" thickBot="1">
      <c r="V12" s="37">
        <f>IF(Ports!A15="","",Ports!A15)</f>
      </c>
      <c r="W12" s="37">
        <f>IF(Ports!B15="","",Ports!B15)</f>
      </c>
    </row>
    <row r="13" spans="1:23" ht="15" customHeight="1" thickBot="1">
      <c r="A13" s="39">
        <v>1</v>
      </c>
      <c r="B13" s="40" t="s">
        <v>46</v>
      </c>
      <c r="C13" s="41">
        <f>D5</f>
        <v>1.42</v>
      </c>
      <c r="D13" s="41"/>
      <c r="E13" s="41"/>
      <c r="F13" s="42"/>
      <c r="G13" s="43"/>
      <c r="V13" s="37">
        <f>IF(Ports!A16="","",Ports!A16)</f>
      </c>
      <c r="W13" s="37">
        <f>IF(Ports!B16="","",Ports!B16)</f>
      </c>
    </row>
    <row r="14" spans="1:23" ht="15" customHeight="1" thickBot="1">
      <c r="A14" s="27">
        <f>A13+1</f>
        <v>2</v>
      </c>
      <c r="B14" s="2" t="s">
        <v>28</v>
      </c>
      <c r="C14" s="13"/>
      <c r="D14" s="29"/>
      <c r="E14" s="29"/>
      <c r="F14" s="31"/>
      <c r="G14" s="30"/>
      <c r="V14" s="37">
        <f>IF(Ports!A17="","",Ports!A17)</f>
      </c>
      <c r="W14" s="37">
        <f>IF(Ports!B17="","",Ports!B17)</f>
      </c>
    </row>
    <row r="15" spans="1:23" ht="15" customHeight="1" hidden="1" thickBot="1">
      <c r="A15" s="27">
        <f aca="true" t="shared" si="0" ref="A15:A52">A14+1</f>
        <v>3</v>
      </c>
      <c r="B15" s="28" t="s">
        <v>29</v>
      </c>
      <c r="C15" s="29">
        <f>C14+C13</f>
        <v>1.42</v>
      </c>
      <c r="D15" s="45" t="str">
        <f>E8</f>
        <v>M2</v>
      </c>
      <c r="E15" s="45" t="str">
        <f>G8</f>
        <v>S2</v>
      </c>
      <c r="F15" s="46" t="str">
        <f>I8</f>
        <v>K1</v>
      </c>
      <c r="G15" s="47" t="str">
        <f>K8</f>
        <v>O1</v>
      </c>
      <c r="V15" s="37">
        <f>IF(Ports!A18="","",Ports!A18)</f>
      </c>
      <c r="W15" s="37">
        <f>IF(Ports!B18="","",Ports!B18)</f>
      </c>
    </row>
    <row r="16" spans="1:23" ht="15" customHeight="1" hidden="1" thickBot="1">
      <c r="A16" s="27">
        <f t="shared" si="0"/>
        <v>4</v>
      </c>
      <c r="B16" s="28" t="s">
        <v>30</v>
      </c>
      <c r="C16" s="29"/>
      <c r="D16" s="29">
        <f>E10</f>
        <v>21</v>
      </c>
      <c r="E16" s="29">
        <f>G10</f>
        <v>9</v>
      </c>
      <c r="F16" s="31">
        <f>I10</f>
        <v>357</v>
      </c>
      <c r="G16" s="44">
        <f>K10</f>
        <v>33</v>
      </c>
      <c r="V16" s="37">
        <f>IF(Ports!A19="","",Ports!A19)</f>
      </c>
      <c r="W16" s="37">
        <f>IF(Ports!B19="","",Ports!B19)</f>
      </c>
    </row>
    <row r="17" spans="1:23" ht="15" customHeight="1" hidden="1" thickBot="1">
      <c r="A17" s="27">
        <f t="shared" si="0"/>
        <v>5</v>
      </c>
      <c r="B17" s="28" t="s">
        <v>31</v>
      </c>
      <c r="C17" s="29"/>
      <c r="D17" s="29">
        <f>E11</f>
        <v>48</v>
      </c>
      <c r="E17" s="29">
        <f>G11</f>
        <v>10</v>
      </c>
      <c r="F17" s="31">
        <f>I11</f>
        <v>356</v>
      </c>
      <c r="G17" s="44">
        <f>K11</f>
        <v>61</v>
      </c>
      <c r="V17" s="37">
        <f>IF(Ports!A20="","",Ports!A20)</f>
      </c>
      <c r="W17" s="37">
        <f>IF(Ports!B20="","",Ports!B20)</f>
      </c>
    </row>
    <row r="18" spans="1:23" ht="15" customHeight="1" hidden="1" thickBot="1">
      <c r="A18" s="27">
        <f t="shared" si="0"/>
        <v>6</v>
      </c>
      <c r="B18" s="28" t="s">
        <v>32</v>
      </c>
      <c r="C18" s="29"/>
      <c r="D18" s="29">
        <f>D16-D17</f>
        <v>-27</v>
      </c>
      <c r="E18" s="29">
        <f>E16-E17</f>
        <v>-1</v>
      </c>
      <c r="F18" s="31">
        <f>F16-F17</f>
        <v>1</v>
      </c>
      <c r="G18" s="44">
        <f>G16-G17</f>
        <v>-28</v>
      </c>
      <c r="V18" s="37">
        <f>IF(Ports!A21="","",Ports!A21)</f>
      </c>
      <c r="W18" s="37">
        <f>IF(Ports!B21="","",Ports!B21)</f>
      </c>
    </row>
    <row r="19" spans="1:23" ht="15" customHeight="1" hidden="1" thickBot="1">
      <c r="A19" s="27"/>
      <c r="B19" s="28" t="s">
        <v>50</v>
      </c>
      <c r="C19" s="29"/>
      <c r="D19" s="29">
        <f>IF((D18)&gt;600,0,IF((D18+360)&gt;600,1,IF((D18+720)&gt;600,2,IF((D18+1080)&gt;600,3,IF((D18+1440)&gt;600,4,"?")))))</f>
        <v>2</v>
      </c>
      <c r="E19" s="29">
        <f>IF((E18)&gt;600,0,IF((E18+360)&gt;600,1,IF((E18+720)&gt;600,2,IF((E18+1080)&gt;600,3,IF((E18+1440)&gt;600,4,"?")))))</f>
        <v>2</v>
      </c>
      <c r="F19" s="31">
        <f>IF((F18)&gt;300,0,IF((F18+360)&gt;300,1,IF((F18+720)&gt;300,2,IF((F18+1080)&gt;300,3,IF((F18+1440)&gt;300,4,"?")))))</f>
        <v>1</v>
      </c>
      <c r="G19" s="44">
        <f>IF((G18)&gt;300,0,IF((G18+360)&gt;300,1,IF((G18+720)&gt;300,2,IF((G18+1080)&gt;300,3,IF((G18+1440)&gt;300,4,"?")))))</f>
        <v>1</v>
      </c>
      <c r="V19" s="37">
        <f>IF(Ports!A22="","",Ports!A22)</f>
      </c>
      <c r="W19" s="37">
        <f>IF(Ports!B22="","",Ports!B22)</f>
      </c>
    </row>
    <row r="20" spans="1:23" ht="15" customHeight="1" hidden="1" thickBot="1">
      <c r="A20" s="27">
        <f>A18+1</f>
        <v>7</v>
      </c>
      <c r="B20" s="28" t="s">
        <v>33</v>
      </c>
      <c r="C20" s="29"/>
      <c r="D20" s="29">
        <f>360*D19</f>
        <v>720</v>
      </c>
      <c r="E20" s="29">
        <f>360*E19</f>
        <v>720</v>
      </c>
      <c r="F20" s="31">
        <f>360*F19</f>
        <v>360</v>
      </c>
      <c r="G20" s="44">
        <f>360*G19</f>
        <v>360</v>
      </c>
      <c r="V20" s="37">
        <f>IF(Ports!A23="","",Ports!A23)</f>
      </c>
      <c r="W20" s="37">
        <f>IF(Ports!B23="","",Ports!B23)</f>
      </c>
    </row>
    <row r="21" spans="1:23" ht="15" customHeight="1" hidden="1" thickBot="1">
      <c r="A21" s="27">
        <f t="shared" si="0"/>
        <v>8</v>
      </c>
      <c r="B21" s="28" t="s">
        <v>35</v>
      </c>
      <c r="C21" s="29"/>
      <c r="D21" s="29">
        <f>D18+D20</f>
        <v>693</v>
      </c>
      <c r="E21" s="29">
        <f>E18+E20</f>
        <v>719</v>
      </c>
      <c r="F21" s="31">
        <f>F18+F20</f>
        <v>361</v>
      </c>
      <c r="G21" s="44">
        <f>G18+G20</f>
        <v>332</v>
      </c>
      <c r="V21" s="37">
        <f>IF(Ports!A24="","",Ports!A24)</f>
      </c>
      <c r="W21" s="37">
        <f>IF(Ports!B24="","",Ports!B24)</f>
      </c>
    </row>
    <row r="22" spans="1:23" ht="15" customHeight="1" hidden="1" thickBot="1">
      <c r="A22" s="27">
        <f t="shared" si="0"/>
        <v>9</v>
      </c>
      <c r="B22" s="28" t="s">
        <v>34</v>
      </c>
      <c r="C22" s="29"/>
      <c r="D22" s="29">
        <f>D21/24</f>
        <v>28.875</v>
      </c>
      <c r="E22" s="29">
        <f>E21/24</f>
        <v>29.958333333333332</v>
      </c>
      <c r="F22" s="31">
        <f>F21/24</f>
        <v>15.041666666666666</v>
      </c>
      <c r="G22" s="44">
        <f>G21/24</f>
        <v>13.833333333333334</v>
      </c>
      <c r="V22" s="37">
        <f>IF(Ports!A25="","",Ports!A25)</f>
      </c>
      <c r="W22" s="37">
        <f>IF(Ports!B25="","",Ports!B25)</f>
      </c>
    </row>
    <row r="23" spans="1:23" ht="15" customHeight="1" hidden="1" thickBot="1">
      <c r="A23" s="27">
        <f t="shared" si="0"/>
        <v>10</v>
      </c>
      <c r="B23" s="28" t="str">
        <f>B16</f>
        <v>A1</v>
      </c>
      <c r="C23" s="29"/>
      <c r="D23" s="29">
        <f>D16</f>
        <v>21</v>
      </c>
      <c r="E23" s="29">
        <f>E16</f>
        <v>9</v>
      </c>
      <c r="F23" s="31">
        <f>F16</f>
        <v>357</v>
      </c>
      <c r="G23" s="44">
        <f>G16</f>
        <v>33</v>
      </c>
      <c r="V23" s="37">
        <f>IF(Ports!A26="","",Ports!A26)</f>
      </c>
      <c r="W23" s="37">
        <f>IF(Ports!B26="","",Ports!B26)</f>
      </c>
    </row>
    <row r="24" spans="1:23" ht="15" customHeight="1" hidden="1" thickBot="1">
      <c r="A24" s="27">
        <f t="shared" si="0"/>
        <v>11</v>
      </c>
      <c r="B24" s="28" t="s">
        <v>37</v>
      </c>
      <c r="C24" s="29"/>
      <c r="D24" s="29">
        <f>E5</f>
        <v>279</v>
      </c>
      <c r="E24" s="29">
        <f>G5</f>
        <v>250</v>
      </c>
      <c r="F24" s="31">
        <f>I5</f>
        <v>194</v>
      </c>
      <c r="G24" s="44">
        <f>K5</f>
        <v>153</v>
      </c>
      <c r="V24" s="37">
        <f>IF(Ports!A27="","",Ports!A27)</f>
      </c>
      <c r="W24" s="37">
        <f>IF(Ports!B27="","",Ports!B27)</f>
      </c>
    </row>
    <row r="25" spans="1:23" ht="15" customHeight="1" hidden="1" thickBot="1">
      <c r="A25" s="27">
        <f t="shared" si="0"/>
        <v>12</v>
      </c>
      <c r="B25" s="28" t="s">
        <v>38</v>
      </c>
      <c r="C25" s="29"/>
      <c r="D25" s="29">
        <f>D24+D23</f>
        <v>300</v>
      </c>
      <c r="E25" s="29">
        <f>E24+E23</f>
        <v>259</v>
      </c>
      <c r="F25" s="31">
        <f>F24+F23</f>
        <v>551</v>
      </c>
      <c r="G25" s="44">
        <f>G24+G23</f>
        <v>186</v>
      </c>
      <c r="V25" s="37">
        <f>IF(Ports!A28="","",Ports!A28)</f>
      </c>
      <c r="W25" s="37">
        <f>IF(Ports!B28="","",Ports!B28)</f>
      </c>
    </row>
    <row r="26" spans="1:23" ht="15" customHeight="1" hidden="1" thickBot="1">
      <c r="A26" s="27">
        <f t="shared" si="0"/>
        <v>13</v>
      </c>
      <c r="B26" s="28" t="s">
        <v>39</v>
      </c>
      <c r="C26" s="29"/>
      <c r="D26" s="29">
        <f>F11</f>
        <v>1.14</v>
      </c>
      <c r="E26" s="29">
        <f>H11</f>
        <v>0.73</v>
      </c>
      <c r="F26" s="31">
        <f>J11</f>
        <v>1.49</v>
      </c>
      <c r="G26" s="44">
        <f>L11</f>
        <v>1.45</v>
      </c>
      <c r="V26" s="37">
        <f>IF(Ports!A29="","",Ports!A29)</f>
      </c>
      <c r="W26" s="37">
        <f>IF(Ports!B29="","",Ports!B29)</f>
      </c>
    </row>
    <row r="27" spans="1:23" ht="15" customHeight="1" hidden="1" thickBot="1">
      <c r="A27" s="27">
        <f t="shared" si="0"/>
        <v>14</v>
      </c>
      <c r="B27" s="28" t="s">
        <v>40</v>
      </c>
      <c r="C27" s="29"/>
      <c r="D27" s="29">
        <f>F10</f>
        <v>1.12</v>
      </c>
      <c r="E27" s="29">
        <f>H10</f>
        <v>0.73</v>
      </c>
      <c r="F27" s="31">
        <f>J10</f>
        <v>1.49</v>
      </c>
      <c r="G27" s="44">
        <f>L10</f>
        <v>1.44</v>
      </c>
      <c r="V27" s="37">
        <f>IF(Ports!A30="","",Ports!A30)</f>
      </c>
      <c r="W27" s="37">
        <f>IF(Ports!B30="","",Ports!B30)</f>
      </c>
    </row>
    <row r="28" spans="1:23" ht="15" customHeight="1" hidden="1" thickBot="1">
      <c r="A28" s="27">
        <f t="shared" si="0"/>
        <v>15</v>
      </c>
      <c r="B28" s="28" t="s">
        <v>41</v>
      </c>
      <c r="C28" s="29"/>
      <c r="D28" s="29">
        <f>D26-D27</f>
        <v>0.019999999999999796</v>
      </c>
      <c r="E28" s="29">
        <f>E26-E27</f>
        <v>0</v>
      </c>
      <c r="F28" s="31">
        <f>F26-F27</f>
        <v>0</v>
      </c>
      <c r="G28" s="44">
        <f>G26-G27</f>
        <v>0.010000000000000009</v>
      </c>
      <c r="V28" s="37">
        <f>IF(Ports!A31="","",Ports!A31)</f>
      </c>
      <c r="W28" s="37">
        <f>IF(Ports!B31="","",Ports!B31)</f>
      </c>
    </row>
    <row r="29" spans="1:23" ht="15" customHeight="1" hidden="1" thickBot="1">
      <c r="A29" s="27">
        <f t="shared" si="0"/>
        <v>16</v>
      </c>
      <c r="B29" s="28" t="s">
        <v>42</v>
      </c>
      <c r="C29" s="29"/>
      <c r="D29" s="29">
        <f>D28/24</f>
        <v>0.0008333333333333248</v>
      </c>
      <c r="E29" s="29">
        <f>E28/24</f>
        <v>0</v>
      </c>
      <c r="F29" s="31">
        <f>F28/24</f>
        <v>0</v>
      </c>
      <c r="G29" s="44">
        <f>G28/24</f>
        <v>0.000416666666666667</v>
      </c>
      <c r="V29" s="37">
        <f>IF(Ports!A32="","",Ports!A32)</f>
      </c>
      <c r="W29" s="37">
        <f>IF(Ports!B32="","",Ports!B32)</f>
      </c>
    </row>
    <row r="30" spans="1:23" ht="15" customHeight="1" hidden="1" thickBot="1">
      <c r="A30" s="27">
        <f t="shared" si="0"/>
        <v>17</v>
      </c>
      <c r="B30" s="28" t="s">
        <v>43</v>
      </c>
      <c r="C30" s="29"/>
      <c r="D30" s="29">
        <f>O7</f>
        <v>100</v>
      </c>
      <c r="E30" s="29">
        <f>D30</f>
        <v>100</v>
      </c>
      <c r="F30" s="31">
        <f>E30</f>
        <v>100</v>
      </c>
      <c r="G30" s="44">
        <f>F30</f>
        <v>100</v>
      </c>
      <c r="V30" s="37">
        <f>IF(Ports!A33="","",Ports!A33)</f>
      </c>
      <c r="W30" s="37">
        <f>IF(Ports!B33="","",Ports!B33)</f>
      </c>
    </row>
    <row r="31" spans="1:23" ht="15" customHeight="1" hidden="1" thickBot="1">
      <c r="A31" s="27">
        <f t="shared" si="0"/>
        <v>18</v>
      </c>
      <c r="B31" s="28" t="str">
        <f>B22</f>
        <v>p/24</v>
      </c>
      <c r="C31" s="29"/>
      <c r="D31" s="29">
        <f>D22</f>
        <v>28.875</v>
      </c>
      <c r="E31" s="29">
        <f>E22</f>
        <v>29.958333333333332</v>
      </c>
      <c r="F31" s="31">
        <f>F22</f>
        <v>15.041666666666666</v>
      </c>
      <c r="G31" s="44">
        <f>G22</f>
        <v>13.833333333333334</v>
      </c>
      <c r="V31" s="37">
        <f>IF(Ports!A34="","",Ports!A34)</f>
      </c>
      <c r="W31" s="37">
        <f>IF(Ports!B34="","",Ports!B34)</f>
      </c>
    </row>
    <row r="32" spans="1:23" ht="15" customHeight="1" hidden="1" thickBot="1">
      <c r="A32" s="27">
        <f t="shared" si="0"/>
        <v>19</v>
      </c>
      <c r="B32" s="28" t="s">
        <v>45</v>
      </c>
      <c r="C32" s="29"/>
      <c r="D32" s="29">
        <f>D31*D30/100</f>
        <v>28.875</v>
      </c>
      <c r="E32" s="29">
        <f>E31*E30/100</f>
        <v>29.95833333333333</v>
      </c>
      <c r="F32" s="31">
        <f>F31*F30/100</f>
        <v>15.041666666666664</v>
      </c>
      <c r="G32" s="44">
        <f>G31*G30/100</f>
        <v>13.833333333333336</v>
      </c>
      <c r="V32" s="37">
        <f>IF(Ports!A35="","",Ports!A35)</f>
      </c>
      <c r="W32" s="37">
        <f>IF(Ports!B35="","",Ports!B35)</f>
      </c>
    </row>
    <row r="33" spans="1:23" ht="15" customHeight="1" hidden="1" thickBot="1">
      <c r="A33" s="27">
        <f t="shared" si="0"/>
        <v>20</v>
      </c>
      <c r="B33" s="28" t="str">
        <f>B25</f>
        <v>A1+g</v>
      </c>
      <c r="C33" s="29"/>
      <c r="D33" s="29">
        <f>D25</f>
        <v>300</v>
      </c>
      <c r="E33" s="29">
        <f>E25</f>
        <v>259</v>
      </c>
      <c r="F33" s="31">
        <f>F25</f>
        <v>551</v>
      </c>
      <c r="G33" s="44">
        <f>G25</f>
        <v>186</v>
      </c>
      <c r="V33" s="37">
        <f>IF(Ports!A36="","",Ports!A36)</f>
      </c>
      <c r="W33" s="37">
        <f>IF(Ports!B36="","",Ports!B36)</f>
      </c>
    </row>
    <row r="34" spans="1:23" ht="15" customHeight="1" hidden="1" thickBot="1">
      <c r="A34" s="27">
        <f t="shared" si="0"/>
        <v>21</v>
      </c>
      <c r="B34" s="28" t="s">
        <v>47</v>
      </c>
      <c r="C34" s="29"/>
      <c r="D34" s="29">
        <f>D33-D32</f>
        <v>271.125</v>
      </c>
      <c r="E34" s="29">
        <f>E33-E32</f>
        <v>229.04166666666669</v>
      </c>
      <c r="F34" s="31">
        <f>F33-F32</f>
        <v>535.9583333333334</v>
      </c>
      <c r="G34" s="44">
        <f>G33-G32</f>
        <v>172.16666666666666</v>
      </c>
      <c r="V34" s="37">
        <f>IF(Ports!A37="","",Ports!A37)</f>
      </c>
      <c r="W34" s="37">
        <f>IF(Ports!B37="","",Ports!B37)</f>
      </c>
    </row>
    <row r="35" spans="1:23" ht="15" customHeight="1" hidden="1" thickBot="1">
      <c r="A35" s="27">
        <f t="shared" si="0"/>
        <v>22</v>
      </c>
      <c r="B35" s="28" t="s">
        <v>48</v>
      </c>
      <c r="C35" s="29"/>
      <c r="D35" s="29">
        <f>SIN(RADIANS(D34))</f>
        <v>-0.9998072404820648</v>
      </c>
      <c r="E35" s="29">
        <f>SIN(RADIANS(E34))</f>
        <v>-0.7551864802060708</v>
      </c>
      <c r="F35" s="31"/>
      <c r="G35" s="44"/>
      <c r="V35" s="37">
        <f>IF(Ports!A38="","",Ports!A38)</f>
      </c>
      <c r="W35" s="37">
        <f>IF(Ports!B38="","",Ports!B38)</f>
      </c>
    </row>
    <row r="36" spans="1:23" ht="15" customHeight="1" hidden="1" thickBot="1">
      <c r="A36" s="27">
        <f t="shared" si="0"/>
        <v>23</v>
      </c>
      <c r="B36" s="28" t="s">
        <v>49</v>
      </c>
      <c r="C36" s="29"/>
      <c r="D36" s="29">
        <f>COS(RADIANS(D34))</f>
        <v>0.019633692460628228</v>
      </c>
      <c r="E36" s="29">
        <f>COS(RADIANS(E34))</f>
        <v>-0.6555100152659498</v>
      </c>
      <c r="F36" s="31">
        <f>COS(RADIANS(F34))</f>
        <v>-0.9975130581443635</v>
      </c>
      <c r="G36" s="44">
        <f>COS(RADIANS(G34))</f>
        <v>-0.990668716690256</v>
      </c>
      <c r="V36" s="37">
        <f>IF(Ports!A39="","",Ports!A39)</f>
      </c>
      <c r="W36" s="37">
        <f>IF(Ports!B39="","",Ports!B39)</f>
      </c>
    </row>
    <row r="37" spans="1:23" ht="15" customHeight="1" hidden="1" thickBot="1">
      <c r="A37" s="27">
        <f t="shared" si="0"/>
        <v>24</v>
      </c>
      <c r="B37" s="28" t="str">
        <f>B29</f>
        <v>P/24</v>
      </c>
      <c r="C37" s="29"/>
      <c r="D37" s="29">
        <f>D29</f>
        <v>0.0008333333333333248</v>
      </c>
      <c r="E37" s="29">
        <f>E29</f>
        <v>0</v>
      </c>
      <c r="F37" s="31">
        <f>F29</f>
        <v>0</v>
      </c>
      <c r="G37" s="44">
        <f>G29</f>
        <v>0.000416666666666667</v>
      </c>
      <c r="V37" s="37">
        <f>IF(Ports!A40="","",Ports!A40)</f>
      </c>
      <c r="W37" s="37">
        <f>IF(Ports!B40="","",Ports!B40)</f>
      </c>
    </row>
    <row r="38" spans="1:23" ht="15" customHeight="1" hidden="1" thickBot="1">
      <c r="A38" s="27">
        <f t="shared" si="0"/>
        <v>25</v>
      </c>
      <c r="B38" s="28" t="s">
        <v>52</v>
      </c>
      <c r="C38" s="29"/>
      <c r="D38" s="29">
        <f>D37*D30/100</f>
        <v>0.0008333333333333248</v>
      </c>
      <c r="E38" s="29">
        <f>E37*E30/100</f>
        <v>0</v>
      </c>
      <c r="F38" s="31">
        <f>F37*F30/100</f>
        <v>0</v>
      </c>
      <c r="G38" s="44">
        <f>G37*G30/100</f>
        <v>0.00041666666666666696</v>
      </c>
      <c r="V38" s="37">
        <f>IF(Ports!A41="","",Ports!A41)</f>
      </c>
      <c r="W38" s="37">
        <f>IF(Ports!B41="","",Ports!B41)</f>
      </c>
    </row>
    <row r="39" spans="1:23" ht="15" customHeight="1" hidden="1" thickBot="1">
      <c r="A39" s="27">
        <f t="shared" si="0"/>
        <v>26</v>
      </c>
      <c r="B39" s="28" t="str">
        <f>B27</f>
        <v>F1</v>
      </c>
      <c r="C39" s="29"/>
      <c r="D39" s="29">
        <f>D27</f>
        <v>1.12</v>
      </c>
      <c r="E39" s="29">
        <f>E27</f>
        <v>0.73</v>
      </c>
      <c r="F39" s="31">
        <f>F27</f>
        <v>1.49</v>
      </c>
      <c r="G39" s="44">
        <f>G27</f>
        <v>1.44</v>
      </c>
      <c r="V39" s="37">
        <f>IF(Ports!A42="","",Ports!A42)</f>
      </c>
      <c r="W39" s="37">
        <f>IF(Ports!B42="","",Ports!B42)</f>
      </c>
    </row>
    <row r="40" spans="1:23" ht="15" customHeight="1" hidden="1" thickBot="1">
      <c r="A40" s="27">
        <f t="shared" si="0"/>
        <v>27</v>
      </c>
      <c r="B40" s="28" t="s">
        <v>51</v>
      </c>
      <c r="C40" s="29"/>
      <c r="D40" s="29">
        <f>D39+D38</f>
        <v>1.1208333333333333</v>
      </c>
      <c r="E40" s="29">
        <f>E39+E38</f>
        <v>0.73</v>
      </c>
      <c r="F40" s="31">
        <f>F39+F38</f>
        <v>1.49</v>
      </c>
      <c r="G40" s="44">
        <f>G39+G38</f>
        <v>1.4404166666666667</v>
      </c>
      <c r="V40" s="37">
        <f>IF(Ports!A43="","",Ports!A43)</f>
      </c>
      <c r="W40" s="37">
        <f>IF(Ports!B43="","",Ports!B43)</f>
      </c>
    </row>
    <row r="41" spans="1:23" ht="15" customHeight="1" hidden="1" thickBot="1">
      <c r="A41" s="27">
        <f t="shared" si="0"/>
        <v>28</v>
      </c>
      <c r="B41" s="28" t="s">
        <v>53</v>
      </c>
      <c r="C41" s="29"/>
      <c r="D41" s="29">
        <f>F5</f>
        <v>0.49</v>
      </c>
      <c r="E41" s="29">
        <f>H5</f>
        <v>0.29</v>
      </c>
      <c r="F41" s="31">
        <f>J5</f>
        <v>0.28</v>
      </c>
      <c r="G41" s="44">
        <f>L5</f>
        <v>0.14</v>
      </c>
      <c r="V41" s="37">
        <f>IF(Ports!A44="","",Ports!A44)</f>
      </c>
      <c r="W41" s="37">
        <f>IF(Ports!B44="","",Ports!B44)</f>
      </c>
    </row>
    <row r="42" spans="1:23" ht="15" customHeight="1" hidden="1" thickBot="1">
      <c r="A42" s="27">
        <f t="shared" si="0"/>
        <v>29</v>
      </c>
      <c r="B42" s="28" t="s">
        <v>54</v>
      </c>
      <c r="C42" s="29"/>
      <c r="D42" s="29">
        <f>D41*D40</f>
        <v>0.5492083333333333</v>
      </c>
      <c r="E42" s="29">
        <f>E41*E40</f>
        <v>0.21169999999999997</v>
      </c>
      <c r="F42" s="31">
        <f>F41*F40</f>
        <v>0.4172</v>
      </c>
      <c r="G42" s="44">
        <f>G41*G40</f>
        <v>0.20165833333333336</v>
      </c>
      <c r="V42" s="37">
        <f>IF(Ports!A45="","",Ports!A45)</f>
      </c>
      <c r="W42" s="37">
        <f>IF(Ports!B45="","",Ports!B45)</f>
      </c>
    </row>
    <row r="43" spans="1:23" ht="15" customHeight="1" hidden="1" thickBot="1">
      <c r="A43" s="27">
        <f t="shared" si="0"/>
        <v>30</v>
      </c>
      <c r="B43" s="28" t="s">
        <v>55</v>
      </c>
      <c r="C43" s="29"/>
      <c r="D43" s="29">
        <f>D42*D35</f>
        <v>-0.549102468199754</v>
      </c>
      <c r="E43" s="29">
        <f>E42*E35</f>
        <v>-0.15987297785962518</v>
      </c>
      <c r="F43" s="31"/>
      <c r="G43" s="44"/>
      <c r="V43" s="37">
        <f>IF(Ports!A46="","",Ports!A46)</f>
      </c>
      <c r="W43" s="37">
        <f>IF(Ports!B46="","",Ports!B46)</f>
      </c>
    </row>
    <row r="44" spans="1:23" ht="15" customHeight="1" hidden="1" thickBot="1">
      <c r="A44" s="27">
        <f t="shared" si="0"/>
        <v>31</v>
      </c>
      <c r="B44" s="28" t="s">
        <v>56</v>
      </c>
      <c r="C44" s="29"/>
      <c r="D44" s="29">
        <f>D42*D36</f>
        <v>0.010782987513480861</v>
      </c>
      <c r="E44" s="29">
        <f>E42*E36</f>
        <v>-0.13877147023180156</v>
      </c>
      <c r="F44" s="31"/>
      <c r="G44" s="44"/>
      <c r="V44" s="37">
        <f>IF(Ports!A47="","",Ports!A47)</f>
      </c>
      <c r="W44" s="37">
        <f>IF(Ports!B47="","",Ports!B47)</f>
      </c>
    </row>
    <row r="45" spans="1:23" ht="15" customHeight="1" hidden="1" thickBot="1">
      <c r="A45" s="27">
        <f>A44+1</f>
        <v>32</v>
      </c>
      <c r="B45" s="28" t="s">
        <v>60</v>
      </c>
      <c r="C45" s="29"/>
      <c r="D45" s="29">
        <f>D43+E43</f>
        <v>-0.7089754460593791</v>
      </c>
      <c r="E45" s="29">
        <f>D44+E44</f>
        <v>-0.1279884827183207</v>
      </c>
      <c r="F45" s="31"/>
      <c r="G45" s="44"/>
      <c r="V45" s="37">
        <f>IF(Ports!A48="","",Ports!A48)</f>
      </c>
      <c r="W45" s="37">
        <f>IF(Ports!B48="","",Ports!B48)</f>
      </c>
    </row>
    <row r="46" spans="1:23" ht="15" customHeight="1" hidden="1" thickBot="1">
      <c r="A46" s="27">
        <f t="shared" si="0"/>
        <v>33</v>
      </c>
      <c r="B46" s="28" t="s">
        <v>57</v>
      </c>
      <c r="C46" s="29"/>
      <c r="D46" s="29">
        <f>IF(DEGREES(ATAN(D45/E45))&lt;0,DEGREES(ATAN(D45/E45))+180,DEGREES(ATAN(D45/E45)))</f>
        <v>79.7668386510816</v>
      </c>
      <c r="E46" s="29">
        <f>D45/(SIN(RADIANS(D46)))</f>
        <v>-0.7204354480615411</v>
      </c>
      <c r="F46" s="31"/>
      <c r="G46" s="44"/>
      <c r="V46" s="37">
        <f>IF(Ports!A49="","",Ports!A49)</f>
      </c>
      <c r="W46" s="37">
        <f>IF(Ports!B49="","",Ports!B49)</f>
      </c>
    </row>
    <row r="47" spans="1:23" ht="15" customHeight="1" hidden="1" thickBot="1">
      <c r="A47" s="27">
        <f t="shared" si="0"/>
        <v>34</v>
      </c>
      <c r="B47" s="28" t="s">
        <v>58</v>
      </c>
      <c r="C47" s="29"/>
      <c r="D47" s="29">
        <f>D46*2</f>
        <v>159.5336773021632</v>
      </c>
      <c r="E47" s="29">
        <f>E46^2</f>
        <v>0.5190272348236336</v>
      </c>
      <c r="F47" s="31"/>
      <c r="G47" s="44"/>
      <c r="V47" s="37">
        <f>IF(Ports!A50="","",Ports!A50)</f>
      </c>
      <c r="W47" s="37">
        <f>IF(Ports!B50="","",Ports!B50)</f>
      </c>
    </row>
    <row r="48" spans="1:23" ht="15" customHeight="1" hidden="1" thickBot="1">
      <c r="A48" s="27">
        <f t="shared" si="0"/>
        <v>35</v>
      </c>
      <c r="B48" s="28" t="s">
        <v>59</v>
      </c>
      <c r="C48" s="29"/>
      <c r="D48" s="29">
        <f>M5</f>
        <v>210</v>
      </c>
      <c r="E48" s="29">
        <f>N5</f>
        <v>0.011</v>
      </c>
      <c r="F48" s="31" t="s">
        <v>65</v>
      </c>
      <c r="G48" s="44">
        <f>F42*F36</f>
        <v>-0.41616244785782847</v>
      </c>
      <c r="V48" s="37">
        <f>IF(Ports!A51="","",Ports!A51)</f>
      </c>
      <c r="W48" s="37">
        <f>IF(Ports!B51="","",Ports!B51)</f>
      </c>
    </row>
    <row r="49" spans="1:23" ht="15" customHeight="1" hidden="1" thickBot="1">
      <c r="A49" s="27">
        <f t="shared" si="0"/>
        <v>36</v>
      </c>
      <c r="B49" s="28" t="s">
        <v>61</v>
      </c>
      <c r="C49" s="29"/>
      <c r="D49" s="29">
        <f>D47+D48</f>
        <v>369.5336773021632</v>
      </c>
      <c r="E49" s="29">
        <f>E47*E48</f>
        <v>0.0057092995830599685</v>
      </c>
      <c r="F49" s="31" t="s">
        <v>66</v>
      </c>
      <c r="G49" s="44">
        <f>G42*G36</f>
        <v>-0.19977660229322924</v>
      </c>
      <c r="V49" s="37">
        <f>IF(Ports!A52="","",Ports!A52)</f>
      </c>
      <c r="W49" s="37">
        <f>IF(Ports!B52="","",Ports!B52)</f>
      </c>
    </row>
    <row r="50" spans="1:23" ht="15" customHeight="1" hidden="1" thickBot="1">
      <c r="A50" s="27">
        <f t="shared" si="0"/>
        <v>37</v>
      </c>
      <c r="B50" s="28" t="s">
        <v>62</v>
      </c>
      <c r="C50" s="29"/>
      <c r="D50" s="29">
        <f>3*D46</f>
        <v>239.3005159532448</v>
      </c>
      <c r="E50" s="29">
        <f>E46^3</f>
        <v>-0.3739256184763072</v>
      </c>
      <c r="F50" s="31" t="s">
        <v>4</v>
      </c>
      <c r="G50" s="44">
        <f>C15</f>
        <v>1.42</v>
      </c>
      <c r="V50" s="37">
        <f>IF(Ports!A53="","",Ports!A53)</f>
      </c>
      <c r="W50" s="37">
        <f>IF(Ports!B53="","",Ports!B53)</f>
      </c>
    </row>
    <row r="51" spans="1:23" ht="15" customHeight="1" hidden="1" thickBot="1">
      <c r="A51" s="27">
        <f t="shared" si="0"/>
        <v>38</v>
      </c>
      <c r="B51" s="28" t="s">
        <v>63</v>
      </c>
      <c r="C51" s="29"/>
      <c r="D51" s="29">
        <f>O5</f>
        <v>79</v>
      </c>
      <c r="E51" s="29">
        <f>P5</f>
        <v>0.009</v>
      </c>
      <c r="F51" s="31" t="s">
        <v>67</v>
      </c>
      <c r="G51" s="44">
        <f>E49*COS(RADIANS(D49))</f>
        <v>0.0056304451323817605</v>
      </c>
      <c r="V51" s="37">
        <f>IF(Ports!A54="","",Ports!A54)</f>
      </c>
      <c r="W51" s="37">
        <f>IF(Ports!B54="","",Ports!B54)</f>
      </c>
    </row>
    <row r="52" spans="1:23" ht="15" customHeight="1" hidden="1" thickBot="1">
      <c r="A52" s="27">
        <f t="shared" si="0"/>
        <v>39</v>
      </c>
      <c r="B52" s="28" t="s">
        <v>64</v>
      </c>
      <c r="C52" s="29"/>
      <c r="D52" s="29">
        <f>D50+D51</f>
        <v>318.3005159532448</v>
      </c>
      <c r="E52" s="29">
        <f>E50*E51</f>
        <v>-0.003365330566286764</v>
      </c>
      <c r="F52" s="31" t="s">
        <v>68</v>
      </c>
      <c r="G52" s="44">
        <f>E52*COS(RADIANS(D52))</f>
        <v>-0.0025127044565595616</v>
      </c>
      <c r="V52" s="37">
        <f>IF(Ports!A55="","",Ports!A55)</f>
      </c>
      <c r="W52" s="37">
        <f>IF(Ports!B55="","",Ports!B55)</f>
      </c>
    </row>
    <row r="53" spans="1:23" ht="15" customHeight="1" thickBot="1">
      <c r="A53" s="27">
        <f>A52+1</f>
        <v>40</v>
      </c>
      <c r="B53" s="28" t="s">
        <v>69</v>
      </c>
      <c r="C53" s="29"/>
      <c r="D53" s="29"/>
      <c r="E53" s="29"/>
      <c r="F53" s="31"/>
      <c r="G53" s="44">
        <f>SUM(G48:G52)</f>
        <v>0.8071786905247643</v>
      </c>
      <c r="V53" s="38">
        <f>IF(Ports!A56="","",Ports!A56)</f>
      </c>
      <c r="W53" s="38">
        <f>IF(Ports!B56="","",Ports!B56)</f>
      </c>
    </row>
    <row r="54" spans="1:23" s="32" customFormat="1" ht="15" customHeight="1">
      <c r="A54" s="26"/>
      <c r="B54" s="26"/>
      <c r="C54" s="26"/>
      <c r="D54" s="26"/>
      <c r="E54" s="26"/>
      <c r="F54" s="26"/>
      <c r="G54" s="33"/>
      <c r="V54" s="32">
        <f>IF(Ports!A57="","",Ports!A57)</f>
      </c>
      <c r="W54" s="32">
        <f>IF(Ports!B57="","",Ports!B57)</f>
      </c>
    </row>
    <row r="55" spans="1:23" s="32" customFormat="1" ht="15" customHeight="1">
      <c r="A55" s="26"/>
      <c r="B55" s="26"/>
      <c r="C55" s="26"/>
      <c r="D55" s="26"/>
      <c r="E55" s="26"/>
      <c r="F55" s="26"/>
      <c r="G55" s="33"/>
      <c r="V55" s="32">
        <f>IF(Ports!A58="","",Ports!A58)</f>
      </c>
      <c r="W55" s="32">
        <f>IF(Ports!B58="","",Ports!B58)</f>
      </c>
    </row>
    <row r="56" spans="1:23" s="32" customFormat="1" ht="15" customHeight="1">
      <c r="A56" s="26"/>
      <c r="B56" s="50" t="s">
        <v>75</v>
      </c>
      <c r="C56" s="51">
        <v>414</v>
      </c>
      <c r="D56" s="52">
        <v>4.9</v>
      </c>
      <c r="E56" s="26"/>
      <c r="F56" s="26"/>
      <c r="G56" s="33"/>
      <c r="V56" s="32">
        <f>IF(Ports!A59="","",Ports!A59)</f>
      </c>
      <c r="W56" s="32">
        <f>IF(Ports!B59="","",Ports!B59)</f>
      </c>
    </row>
    <row r="57" spans="1:23" s="32" customFormat="1" ht="15" customHeight="1">
      <c r="A57" s="26"/>
      <c r="B57" s="53"/>
      <c r="C57" s="26">
        <v>1041</v>
      </c>
      <c r="D57" s="54">
        <v>-0.3</v>
      </c>
      <c r="E57" s="26"/>
      <c r="F57" s="26"/>
      <c r="G57" s="33"/>
      <c r="V57" s="32">
        <f>IF(Ports!A60="","",Ports!A60)</f>
      </c>
      <c r="W57" s="32">
        <f>IF(Ports!B60="","",Ports!B60)</f>
      </c>
    </row>
    <row r="58" spans="1:23" s="32" customFormat="1" ht="15" customHeight="1">
      <c r="A58" s="26"/>
      <c r="B58" s="53"/>
      <c r="C58" s="26">
        <v>1652</v>
      </c>
      <c r="D58" s="54">
        <v>4.9</v>
      </c>
      <c r="E58" s="26"/>
      <c r="F58" s="26"/>
      <c r="G58" s="33"/>
      <c r="V58" s="32">
        <f>IF(Ports!A61="","",Ports!A61)</f>
      </c>
      <c r="W58" s="32">
        <f>IF(Ports!B61="","",Ports!B61)</f>
      </c>
    </row>
    <row r="59" spans="1:23" s="32" customFormat="1" ht="15" customHeight="1">
      <c r="A59" s="26"/>
      <c r="B59" s="55"/>
      <c r="C59" s="56">
        <v>2300</v>
      </c>
      <c r="D59" s="57">
        <v>0.1</v>
      </c>
      <c r="E59" s="26"/>
      <c r="F59" s="26"/>
      <c r="G59" s="33"/>
      <c r="V59" s="32">
        <f>IF(Ports!A62="","",Ports!A62)</f>
      </c>
      <c r="W59" s="32">
        <f>IF(Ports!B62="","",Ports!B62)</f>
      </c>
    </row>
    <row r="60" spans="1:23" s="32" customFormat="1" ht="15" customHeight="1">
      <c r="A60" s="26"/>
      <c r="B60" s="50" t="s">
        <v>76</v>
      </c>
      <c r="C60" s="51">
        <v>455</v>
      </c>
      <c r="D60" s="52">
        <v>0.9</v>
      </c>
      <c r="E60" s="26"/>
      <c r="F60" s="26"/>
      <c r="G60" s="33"/>
      <c r="V60" s="32">
        <f>IF(Ports!A63="","",Ports!A63)</f>
      </c>
      <c r="W60" s="32">
        <f>IF(Ports!B63="","",Ports!B63)</f>
      </c>
    </row>
    <row r="61" spans="1:23" s="32" customFormat="1" ht="15" customHeight="1">
      <c r="A61" s="26"/>
      <c r="B61" s="53"/>
      <c r="C61" s="26">
        <v>1119</v>
      </c>
      <c r="D61" s="54">
        <v>4.7</v>
      </c>
      <c r="E61" s="26"/>
      <c r="F61" s="26"/>
      <c r="G61" s="33"/>
      <c r="V61" s="32">
        <f>IF(Ports!A64="","",Ports!A64)</f>
      </c>
      <c r="W61" s="32">
        <f>IF(Ports!B64="","",Ports!B64)</f>
      </c>
    </row>
    <row r="62" spans="1:23" s="32" customFormat="1" ht="15" customHeight="1">
      <c r="A62" s="26"/>
      <c r="B62" s="53"/>
      <c r="C62" s="26">
        <v>1724</v>
      </c>
      <c r="D62" s="54">
        <v>0.7</v>
      </c>
      <c r="E62" s="26"/>
      <c r="F62" s="26"/>
      <c r="G62" s="33"/>
      <c r="V62" s="32">
        <f>IF(Ports!A65="","",Ports!A65)</f>
      </c>
      <c r="W62" s="32">
        <f>IF(Ports!B65="","",Ports!B65)</f>
      </c>
    </row>
    <row r="63" spans="1:23" s="32" customFormat="1" ht="15" customHeight="1">
      <c r="A63" s="26"/>
      <c r="B63" s="55"/>
      <c r="C63" s="56">
        <v>2348</v>
      </c>
      <c r="D63" s="57">
        <v>4.6</v>
      </c>
      <c r="E63" s="26"/>
      <c r="F63" s="26"/>
      <c r="G63" s="33"/>
      <c r="V63" s="32">
        <f>IF(Ports!A66="","",Ports!A66)</f>
      </c>
      <c r="W63" s="32">
        <f>IF(Ports!B66="","",Ports!B66)</f>
      </c>
    </row>
    <row r="64" spans="1:23" s="32" customFormat="1" ht="15" customHeight="1">
      <c r="A64" s="26"/>
      <c r="B64" s="26"/>
      <c r="C64" s="26"/>
      <c r="D64" s="26"/>
      <c r="E64" s="26"/>
      <c r="F64" s="26"/>
      <c r="G64" s="33"/>
      <c r="V64" s="32">
        <f>IF(Ports!A67="","",Ports!A67)</f>
      </c>
      <c r="W64" s="32">
        <f>IF(Ports!B67="","",Ports!B67)</f>
      </c>
    </row>
    <row r="65" spans="1:23" s="32" customFormat="1" ht="15" customHeight="1">
      <c r="A65" s="26"/>
      <c r="B65" s="26"/>
      <c r="C65" s="26"/>
      <c r="D65" s="26"/>
      <c r="E65" s="26"/>
      <c r="F65" s="26"/>
      <c r="G65" s="33"/>
      <c r="V65" s="32">
        <f>IF(Ports!A68="","",Ports!A68)</f>
      </c>
      <c r="W65" s="32">
        <f>IF(Ports!B68="","",Ports!B68)</f>
      </c>
    </row>
    <row r="66" spans="1:23" s="32" customFormat="1" ht="15" customHeight="1">
      <c r="A66" s="26"/>
      <c r="B66" s="26"/>
      <c r="C66" s="26"/>
      <c r="D66" s="26"/>
      <c r="E66" s="26"/>
      <c r="F66" s="26"/>
      <c r="G66" s="33"/>
      <c r="V66" s="32">
        <f>IF(Ports!A69="","",Ports!A69)</f>
      </c>
      <c r="W66" s="32">
        <f>IF(Ports!B69="","",Ports!B69)</f>
      </c>
    </row>
    <row r="67" spans="1:23" s="32" customFormat="1" ht="15" customHeight="1">
      <c r="A67" s="26"/>
      <c r="B67" s="26"/>
      <c r="C67" s="26"/>
      <c r="D67" s="26"/>
      <c r="E67" s="26"/>
      <c r="F67" s="26"/>
      <c r="G67" s="33"/>
      <c r="V67" s="32">
        <f>IF(Ports!A70="","",Ports!A70)</f>
      </c>
      <c r="W67" s="32">
        <f>IF(Ports!B70="","",Ports!B70)</f>
      </c>
    </row>
    <row r="68" spans="1:23" s="32" customFormat="1" ht="15" customHeight="1">
      <c r="A68" s="26"/>
      <c r="B68" s="26"/>
      <c r="C68" s="26"/>
      <c r="D68" s="26"/>
      <c r="E68" s="26"/>
      <c r="F68" s="26"/>
      <c r="G68" s="33"/>
      <c r="V68" s="32">
        <f>IF(Ports!A71="","",Ports!A71)</f>
      </c>
      <c r="W68" s="32">
        <f>IF(Ports!B71="","",Ports!B71)</f>
      </c>
    </row>
    <row r="69" spans="1:23" s="32" customFormat="1" ht="15" customHeight="1">
      <c r="A69" s="26"/>
      <c r="B69" s="26"/>
      <c r="C69" s="26"/>
      <c r="D69" s="26"/>
      <c r="E69" s="26"/>
      <c r="F69" s="26"/>
      <c r="G69" s="33"/>
      <c r="V69" s="32">
        <f>IF(Ports!A72="","",Ports!A72)</f>
      </c>
      <c r="W69" s="32">
        <f>IF(Ports!B72="","",Ports!B72)</f>
      </c>
    </row>
    <row r="70" spans="1:23" s="32" customFormat="1" ht="15" customHeight="1">
      <c r="A70" s="26"/>
      <c r="B70" s="26"/>
      <c r="C70" s="26"/>
      <c r="D70" s="26"/>
      <c r="E70" s="26"/>
      <c r="F70" s="26"/>
      <c r="G70" s="33"/>
      <c r="V70" s="32">
        <f>IF(Ports!A73="","",Ports!A73)</f>
      </c>
      <c r="W70" s="32">
        <f>IF(Ports!B73="","",Ports!B73)</f>
      </c>
    </row>
    <row r="71" spans="1:23" s="32" customFormat="1" ht="15" customHeight="1">
      <c r="A71" s="26"/>
      <c r="B71" s="26"/>
      <c r="C71" s="26"/>
      <c r="D71" s="26"/>
      <c r="E71" s="26"/>
      <c r="F71" s="26"/>
      <c r="G71" s="33"/>
      <c r="V71" s="32">
        <f>IF(Ports!A74="","",Ports!A74)</f>
      </c>
      <c r="W71" s="32">
        <f>IF(Ports!B74="","",Ports!B74)</f>
      </c>
    </row>
    <row r="72" spans="1:23" s="32" customFormat="1" ht="15" customHeight="1">
      <c r="A72" s="26"/>
      <c r="B72" s="26"/>
      <c r="C72" s="26"/>
      <c r="D72" s="26"/>
      <c r="E72" s="26"/>
      <c r="F72" s="26"/>
      <c r="G72" s="33"/>
      <c r="V72" s="32">
        <f>IF(Ports!A75="","",Ports!A75)</f>
      </c>
      <c r="W72" s="32">
        <f>IF(Ports!B75="","",Ports!B75)</f>
      </c>
    </row>
    <row r="73" spans="1:23" s="32" customFormat="1" ht="15" customHeight="1">
      <c r="A73" s="26"/>
      <c r="B73" s="26"/>
      <c r="C73" s="26"/>
      <c r="D73" s="26"/>
      <c r="E73" s="26"/>
      <c r="F73" s="26"/>
      <c r="G73" s="33"/>
      <c r="V73" s="32">
        <f>IF(Ports!A76="","",Ports!A76)</f>
      </c>
      <c r="W73" s="32">
        <f>IF(Ports!B76="","",Ports!B76)</f>
      </c>
    </row>
    <row r="74" spans="1:23" s="32" customFormat="1" ht="15" customHeight="1">
      <c r="A74" s="26"/>
      <c r="B74" s="26"/>
      <c r="C74" s="26"/>
      <c r="D74" s="26"/>
      <c r="E74" s="26"/>
      <c r="F74" s="26"/>
      <c r="G74" s="33"/>
      <c r="V74" s="32">
        <f>IF(Ports!A77="","",Ports!A77)</f>
      </c>
      <c r="W74" s="32">
        <f>IF(Ports!B77="","",Ports!B77)</f>
      </c>
    </row>
    <row r="75" spans="1:23" s="32" customFormat="1" ht="15" customHeight="1">
      <c r="A75" s="26"/>
      <c r="B75" s="26"/>
      <c r="C75" s="26"/>
      <c r="D75" s="26"/>
      <c r="E75" s="26"/>
      <c r="F75" s="26"/>
      <c r="G75" s="33"/>
      <c r="V75" s="32">
        <f>IF(Ports!A78="","",Ports!A78)</f>
      </c>
      <c r="W75" s="32">
        <f>IF(Ports!B78="","",Ports!B78)</f>
      </c>
    </row>
    <row r="76" spans="1:23" s="32" customFormat="1" ht="15" customHeight="1">
      <c r="A76" s="26"/>
      <c r="B76" s="26"/>
      <c r="C76" s="26"/>
      <c r="D76" s="26"/>
      <c r="E76" s="26"/>
      <c r="F76" s="26"/>
      <c r="G76" s="33"/>
      <c r="V76" s="32">
        <f>IF(Ports!A79="","",Ports!A79)</f>
      </c>
      <c r="W76" s="32">
        <f>IF(Ports!B79="","",Ports!B79)</f>
      </c>
    </row>
    <row r="77" spans="1:23" s="32" customFormat="1" ht="15" customHeight="1">
      <c r="A77" s="26"/>
      <c r="B77" s="26"/>
      <c r="C77" s="26"/>
      <c r="D77" s="26"/>
      <c r="E77" s="26"/>
      <c r="F77" s="26"/>
      <c r="G77" s="33"/>
      <c r="V77" s="32">
        <f>IF(Ports!A80="","",Ports!A80)</f>
      </c>
      <c r="W77" s="32">
        <f>IF(Ports!B80="","",Ports!B80)</f>
      </c>
    </row>
    <row r="78" spans="1:23" s="32" customFormat="1" ht="15" customHeight="1">
      <c r="A78" s="26"/>
      <c r="B78" s="26"/>
      <c r="C78" s="26"/>
      <c r="D78" s="26"/>
      <c r="E78" s="26"/>
      <c r="F78" s="26"/>
      <c r="G78" s="33"/>
      <c r="V78" s="32">
        <f>IF(Ports!A81="","",Ports!A81)</f>
      </c>
      <c r="W78" s="32">
        <f>IF(Ports!B81="","",Ports!B81)</f>
      </c>
    </row>
    <row r="79" spans="1:23" s="32" customFormat="1" ht="15" customHeight="1">
      <c r="A79" s="26"/>
      <c r="B79" s="26"/>
      <c r="C79" s="26"/>
      <c r="D79" s="26"/>
      <c r="E79" s="26"/>
      <c r="F79" s="26"/>
      <c r="G79" s="33"/>
      <c r="V79" s="32">
        <f>IF(Ports!A82="","",Ports!A82)</f>
      </c>
      <c r="W79" s="32">
        <f>IF(Ports!B82="","",Ports!B82)</f>
      </c>
    </row>
    <row r="80" spans="1:23" s="32" customFormat="1" ht="15" customHeight="1">
      <c r="A80" s="26"/>
      <c r="B80" s="26"/>
      <c r="C80" s="26"/>
      <c r="D80" s="26"/>
      <c r="E80" s="26"/>
      <c r="F80" s="26"/>
      <c r="G80" s="33"/>
      <c r="V80" s="32">
        <f>IF(Ports!A83="","",Ports!A83)</f>
      </c>
      <c r="W80" s="32">
        <f>IF(Ports!B83="","",Ports!B83)</f>
      </c>
    </row>
    <row r="81" spans="1:23" s="32" customFormat="1" ht="15" customHeight="1">
      <c r="A81" s="26"/>
      <c r="B81" s="26"/>
      <c r="C81" s="26"/>
      <c r="D81" s="26"/>
      <c r="E81" s="26"/>
      <c r="F81" s="26"/>
      <c r="G81" s="33"/>
      <c r="V81" s="32">
        <f>IF(Ports!A84="","",Ports!A84)</f>
      </c>
      <c r="W81" s="32">
        <f>IF(Ports!B84="","",Ports!B84)</f>
      </c>
    </row>
    <row r="82" spans="1:23" s="32" customFormat="1" ht="15" customHeight="1">
      <c r="A82" s="26"/>
      <c r="B82" s="26"/>
      <c r="C82" s="26"/>
      <c r="D82" s="26"/>
      <c r="E82" s="26"/>
      <c r="F82" s="26"/>
      <c r="G82" s="33"/>
      <c r="V82" s="32">
        <f>IF(Ports!A85="","",Ports!A85)</f>
      </c>
      <c r="W82" s="32">
        <f>IF(Ports!B85="","",Ports!B85)</f>
      </c>
    </row>
    <row r="83" spans="1:23" s="32" customFormat="1" ht="15" customHeight="1">
      <c r="A83" s="26"/>
      <c r="B83" s="26"/>
      <c r="C83" s="26"/>
      <c r="D83" s="26"/>
      <c r="E83" s="26"/>
      <c r="F83" s="26"/>
      <c r="G83" s="33"/>
      <c r="V83" s="32">
        <f>IF(Ports!A86="","",Ports!A86)</f>
      </c>
      <c r="W83" s="32">
        <f>IF(Ports!B86="","",Ports!B86)</f>
      </c>
    </row>
    <row r="84" spans="1:23" s="32" customFormat="1" ht="15" customHeight="1">
      <c r="A84" s="26"/>
      <c r="B84" s="26"/>
      <c r="C84" s="26"/>
      <c r="D84" s="26"/>
      <c r="E84" s="26"/>
      <c r="F84" s="26"/>
      <c r="G84" s="33"/>
      <c r="V84" s="32">
        <f>IF(Ports!A87="","",Ports!A87)</f>
      </c>
      <c r="W84" s="32">
        <f>IF(Ports!B87="","",Ports!B87)</f>
      </c>
    </row>
    <row r="85" spans="1:23" s="32" customFormat="1" ht="15" customHeight="1">
      <c r="A85" s="26"/>
      <c r="B85" s="26"/>
      <c r="C85" s="26"/>
      <c r="D85" s="26"/>
      <c r="E85" s="26"/>
      <c r="F85" s="26"/>
      <c r="G85" s="33"/>
      <c r="V85" s="32">
        <f>IF(Ports!A88="","",Ports!A88)</f>
      </c>
      <c r="W85" s="32">
        <f>IF(Ports!B88="","",Ports!B88)</f>
      </c>
    </row>
    <row r="86" spans="1:23" s="32" customFormat="1" ht="15" customHeight="1">
      <c r="A86" s="26"/>
      <c r="B86" s="26"/>
      <c r="C86" s="26"/>
      <c r="D86" s="26"/>
      <c r="E86" s="26"/>
      <c r="F86" s="26"/>
      <c r="G86" s="33"/>
      <c r="V86" s="32">
        <f>IF(Ports!A89="","",Ports!A89)</f>
      </c>
      <c r="W86" s="32">
        <f>IF(Ports!B89="","",Ports!B89)</f>
      </c>
    </row>
    <row r="87" spans="1:23" s="32" customFormat="1" ht="15" customHeight="1">
      <c r="A87" s="26"/>
      <c r="B87" s="26"/>
      <c r="C87" s="26"/>
      <c r="D87" s="26"/>
      <c r="E87" s="26"/>
      <c r="F87" s="26"/>
      <c r="G87" s="33"/>
      <c r="V87" s="32">
        <f>IF(Ports!A90="","",Ports!A90)</f>
      </c>
      <c r="W87" s="32">
        <f>IF(Ports!B90="","",Ports!B90)</f>
      </c>
    </row>
    <row r="88" spans="1:23" s="32" customFormat="1" ht="15" customHeight="1">
      <c r="A88" s="26"/>
      <c r="B88" s="26"/>
      <c r="C88" s="26"/>
      <c r="D88" s="26"/>
      <c r="E88" s="26"/>
      <c r="F88" s="26"/>
      <c r="G88" s="33"/>
      <c r="V88" s="32">
        <f>IF(Ports!A91="","",Ports!A91)</f>
      </c>
      <c r="W88" s="32">
        <f>IF(Ports!B91="","",Ports!B91)</f>
      </c>
    </row>
    <row r="89" spans="1:23" s="32" customFormat="1" ht="15" customHeight="1">
      <c r="A89" s="26"/>
      <c r="B89" s="26"/>
      <c r="C89" s="26"/>
      <c r="D89" s="26"/>
      <c r="E89" s="26"/>
      <c r="F89" s="26"/>
      <c r="G89" s="33"/>
      <c r="V89" s="32">
        <f>IF(Ports!A92="","",Ports!A92)</f>
      </c>
      <c r="W89" s="32">
        <f>IF(Ports!B92="","",Ports!B92)</f>
      </c>
    </row>
    <row r="90" spans="1:23" s="32" customFormat="1" ht="15" customHeight="1">
      <c r="A90" s="26"/>
      <c r="B90" s="26"/>
      <c r="C90" s="26"/>
      <c r="D90" s="26"/>
      <c r="E90" s="26"/>
      <c r="F90" s="26"/>
      <c r="G90" s="33"/>
      <c r="V90" s="32">
        <f>IF(Ports!A93="","",Ports!A93)</f>
      </c>
      <c r="W90" s="32">
        <f>IF(Ports!B93="","",Ports!B93)</f>
      </c>
    </row>
    <row r="91" spans="1:23" s="32" customFormat="1" ht="15" customHeight="1">
      <c r="A91" s="26"/>
      <c r="B91" s="26"/>
      <c r="C91" s="26"/>
      <c r="D91" s="26"/>
      <c r="E91" s="26"/>
      <c r="F91" s="26"/>
      <c r="G91" s="33"/>
      <c r="V91" s="32">
        <f>IF(Ports!A94="","",Ports!A94)</f>
      </c>
      <c r="W91" s="32">
        <f>IF(Ports!B94="","",Ports!B94)</f>
      </c>
    </row>
    <row r="92" spans="1:23" s="32" customFormat="1" ht="15" customHeight="1">
      <c r="A92" s="26"/>
      <c r="B92" s="26"/>
      <c r="C92" s="26"/>
      <c r="D92" s="26"/>
      <c r="E92" s="26"/>
      <c r="F92" s="26"/>
      <c r="G92" s="33"/>
      <c r="V92" s="32">
        <f>IF(Ports!A95="","",Ports!A95)</f>
      </c>
      <c r="W92" s="32">
        <f>IF(Ports!B95="","",Ports!B95)</f>
      </c>
    </row>
    <row r="93" spans="1:23" s="32" customFormat="1" ht="15" customHeight="1">
      <c r="A93" s="26"/>
      <c r="B93" s="26"/>
      <c r="C93" s="26"/>
      <c r="D93" s="26"/>
      <c r="E93" s="26"/>
      <c r="F93" s="26"/>
      <c r="G93" s="33"/>
      <c r="V93" s="32">
        <f>IF(Ports!A96="","",Ports!A96)</f>
      </c>
      <c r="W93" s="32">
        <f>IF(Ports!B96="","",Ports!B96)</f>
      </c>
    </row>
    <row r="94" spans="1:23" s="32" customFormat="1" ht="15" customHeight="1">
      <c r="A94" s="26"/>
      <c r="B94" s="26"/>
      <c r="C94" s="26"/>
      <c r="D94" s="26"/>
      <c r="E94" s="26"/>
      <c r="F94" s="26"/>
      <c r="G94" s="33"/>
      <c r="V94" s="32">
        <f>IF(Ports!A97="","",Ports!A97)</f>
      </c>
      <c r="W94" s="32">
        <f>IF(Ports!B97="","",Ports!B97)</f>
      </c>
    </row>
    <row r="95" spans="1:23" s="32" customFormat="1" ht="15" customHeight="1">
      <c r="A95" s="26"/>
      <c r="B95" s="26"/>
      <c r="C95" s="26"/>
      <c r="D95" s="26"/>
      <c r="E95" s="26"/>
      <c r="F95" s="26"/>
      <c r="G95" s="33"/>
      <c r="V95" s="32">
        <f>IF(Ports!A98="","",Ports!A98)</f>
      </c>
      <c r="W95" s="32">
        <f>IF(Ports!B98="","",Ports!B98)</f>
      </c>
    </row>
    <row r="96" spans="1:23" s="32" customFormat="1" ht="15" customHeight="1">
      <c r="A96" s="26"/>
      <c r="B96" s="26"/>
      <c r="C96" s="26"/>
      <c r="D96" s="26"/>
      <c r="E96" s="26"/>
      <c r="F96" s="26"/>
      <c r="G96" s="33"/>
      <c r="V96" s="32">
        <f>IF(Ports!A99="","",Ports!A99)</f>
      </c>
      <c r="W96" s="32">
        <f>IF(Ports!B99="","",Ports!B99)</f>
      </c>
    </row>
    <row r="97" spans="1:23" s="32" customFormat="1" ht="15" customHeight="1">
      <c r="A97" s="26"/>
      <c r="B97" s="26"/>
      <c r="C97" s="26"/>
      <c r="D97" s="26"/>
      <c r="E97" s="26"/>
      <c r="F97" s="26"/>
      <c r="G97" s="33"/>
      <c r="V97" s="32">
        <f>IF(Ports!A100="","",Ports!A100)</f>
      </c>
      <c r="W97" s="32">
        <f>IF(Ports!B100="","",Ports!B100)</f>
      </c>
    </row>
    <row r="98" spans="1:23" s="32" customFormat="1" ht="15" customHeight="1">
      <c r="A98" s="26"/>
      <c r="B98" s="26"/>
      <c r="C98" s="26"/>
      <c r="D98" s="26"/>
      <c r="E98" s="26"/>
      <c r="F98" s="26"/>
      <c r="G98" s="33"/>
      <c r="V98" s="32">
        <f>IF(Ports!A101="","",Ports!A101)</f>
      </c>
      <c r="W98" s="32">
        <f>IF(Ports!B101="","",Ports!B101)</f>
      </c>
    </row>
    <row r="99" spans="1:23" s="32" customFormat="1" ht="15" customHeight="1">
      <c r="A99" s="26"/>
      <c r="B99" s="26"/>
      <c r="C99" s="26"/>
      <c r="D99" s="26"/>
      <c r="E99" s="26"/>
      <c r="F99" s="26"/>
      <c r="G99" s="33"/>
      <c r="V99" s="32">
        <f>IF(Ports!A102="","",Ports!A102)</f>
      </c>
      <c r="W99" s="32">
        <f>IF(Ports!B102="","",Ports!B102)</f>
      </c>
    </row>
    <row r="100" spans="1:23" s="32" customFormat="1" ht="15" customHeight="1">
      <c r="A100" s="26"/>
      <c r="B100" s="26"/>
      <c r="C100" s="26"/>
      <c r="D100" s="26"/>
      <c r="E100" s="26"/>
      <c r="F100" s="26"/>
      <c r="G100" s="33"/>
      <c r="V100" s="32">
        <f>IF(Ports!A103="","",Ports!A103)</f>
      </c>
      <c r="W100" s="32">
        <f>IF(Ports!B103="","",Ports!B103)</f>
      </c>
    </row>
  </sheetData>
  <sheetProtection/>
  <mergeCells count="17">
    <mergeCell ref="D7:H7"/>
    <mergeCell ref="D8:D9"/>
    <mergeCell ref="E8:F8"/>
    <mergeCell ref="G8:H8"/>
    <mergeCell ref="I8:J8"/>
    <mergeCell ref="K8:L8"/>
    <mergeCell ref="I3:J3"/>
    <mergeCell ref="K3:L3"/>
    <mergeCell ref="M2:P2"/>
    <mergeCell ref="M3:N3"/>
    <mergeCell ref="O3:P3"/>
    <mergeCell ref="A2:A4"/>
    <mergeCell ref="B2:B4"/>
    <mergeCell ref="C2:C4"/>
    <mergeCell ref="E2:H2"/>
    <mergeCell ref="E3:F3"/>
    <mergeCell ref="G3:H3"/>
  </mergeCells>
  <dataValidations count="1">
    <dataValidation type="list" allowBlank="1" showInputMessage="1" showErrorMessage="1" sqref="B5">
      <formula1>$W$2:$W$100</formula1>
    </dataValidation>
  </dataValidations>
  <printOptions/>
  <pageMargins left="0.75" right="0.75" top="1" bottom="1" header="0.5" footer="0.5"/>
  <pageSetup horizontalDpi="120" verticalDpi="12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00"/>
  <sheetViews>
    <sheetView workbookViewId="0" topLeftCell="A1">
      <pane ySplit="4" topLeftCell="BM5" activePane="bottomLeft" state="frozen"/>
      <selection pane="topLeft" activeCell="A1" sqref="A1"/>
      <selection pane="bottomLeft" activeCell="B16" sqref="B16"/>
    </sheetView>
  </sheetViews>
  <sheetFormatPr defaultColWidth="9.00390625" defaultRowHeight="12.75"/>
  <cols>
    <col min="1" max="1" width="9.125" style="35" customWidth="1"/>
    <col min="2" max="2" width="35.25390625" style="35" customWidth="1"/>
    <col min="3" max="3" width="8.125" style="35" customWidth="1"/>
    <col min="4" max="4" width="7.125" style="35" customWidth="1"/>
    <col min="5" max="16" width="9.125" style="35" customWidth="1"/>
    <col min="17" max="16384" width="9.125" style="1" customWidth="1"/>
  </cols>
  <sheetData>
    <row r="1" spans="1:7" ht="33.75" customHeight="1">
      <c r="A1" s="34"/>
      <c r="G1" s="36"/>
    </row>
    <row r="2" spans="1:16" ht="12.75">
      <c r="A2" s="59" t="s">
        <v>1</v>
      </c>
      <c r="B2" s="59" t="s">
        <v>2</v>
      </c>
      <c r="C2" s="59" t="s">
        <v>3</v>
      </c>
      <c r="D2" s="2" t="s">
        <v>4</v>
      </c>
      <c r="E2" s="58" t="s">
        <v>6</v>
      </c>
      <c r="F2" s="58"/>
      <c r="G2" s="58"/>
      <c r="H2" s="58"/>
      <c r="I2" s="3"/>
      <c r="J2" s="3"/>
      <c r="K2" s="3"/>
      <c r="L2" s="3"/>
      <c r="M2" s="58" t="s">
        <v>14</v>
      </c>
      <c r="N2" s="58"/>
      <c r="O2" s="58"/>
      <c r="P2" s="58"/>
    </row>
    <row r="3" spans="1:16" ht="14.25">
      <c r="A3" s="59"/>
      <c r="B3" s="59"/>
      <c r="C3" s="59"/>
      <c r="D3" s="2" t="s">
        <v>7</v>
      </c>
      <c r="E3" s="58" t="s">
        <v>8</v>
      </c>
      <c r="F3" s="58"/>
      <c r="G3" s="58" t="s">
        <v>9</v>
      </c>
      <c r="H3" s="58"/>
      <c r="I3" s="58" t="s">
        <v>11</v>
      </c>
      <c r="J3" s="58"/>
      <c r="K3" s="58" t="s">
        <v>12</v>
      </c>
      <c r="L3" s="58"/>
      <c r="M3" s="58" t="s">
        <v>15</v>
      </c>
      <c r="N3" s="58"/>
      <c r="O3" s="58" t="s">
        <v>16</v>
      </c>
      <c r="P3" s="58"/>
    </row>
    <row r="4" spans="1:16" ht="16.5">
      <c r="A4" s="59"/>
      <c r="B4" s="59"/>
      <c r="C4" s="59"/>
      <c r="D4" s="2" t="s">
        <v>5</v>
      </c>
      <c r="E4" s="2" t="s">
        <v>13</v>
      </c>
      <c r="F4" s="2" t="s">
        <v>10</v>
      </c>
      <c r="G4" s="2" t="s">
        <v>13</v>
      </c>
      <c r="H4" s="2" t="s">
        <v>10</v>
      </c>
      <c r="I4" s="2" t="s">
        <v>13</v>
      </c>
      <c r="J4" s="2" t="s">
        <v>10</v>
      </c>
      <c r="K4" s="2" t="s">
        <v>13</v>
      </c>
      <c r="L4" s="2" t="s">
        <v>10</v>
      </c>
      <c r="M4" s="2" t="s">
        <v>17</v>
      </c>
      <c r="N4" s="2" t="s">
        <v>18</v>
      </c>
      <c r="O4" s="2" t="s">
        <v>19</v>
      </c>
      <c r="P4" s="2" t="s">
        <v>20</v>
      </c>
    </row>
    <row r="5" spans="1:17" ht="26.25" customHeight="1">
      <c r="A5" s="4">
        <v>5558</v>
      </c>
      <c r="B5" s="4" t="s">
        <v>21</v>
      </c>
      <c r="C5" s="5">
        <v>-10</v>
      </c>
      <c r="D5" s="4">
        <v>1.42</v>
      </c>
      <c r="E5" s="4">
        <v>279</v>
      </c>
      <c r="F5" s="4">
        <v>0.49</v>
      </c>
      <c r="G5" s="4">
        <v>250</v>
      </c>
      <c r="H5" s="4">
        <v>0.29</v>
      </c>
      <c r="I5" s="4">
        <v>194</v>
      </c>
      <c r="J5" s="4">
        <v>0.28</v>
      </c>
      <c r="K5" s="4">
        <v>153</v>
      </c>
      <c r="L5" s="4">
        <v>0.14</v>
      </c>
      <c r="M5" s="4">
        <v>210</v>
      </c>
      <c r="N5" s="4">
        <v>0.011</v>
      </c>
      <c r="O5" s="4">
        <v>79</v>
      </c>
      <c r="P5" s="4">
        <v>0.009</v>
      </c>
      <c r="Q5" s="1">
        <f>A5</f>
        <v>5558</v>
      </c>
    </row>
    <row r="6" spans="1:17" ht="26.25" customHeight="1">
      <c r="A6" s="4">
        <v>6037</v>
      </c>
      <c r="B6" s="4" t="s">
        <v>70</v>
      </c>
      <c r="C6" s="5">
        <v>-10</v>
      </c>
      <c r="D6" s="4">
        <v>0.95</v>
      </c>
      <c r="E6" s="4">
        <v>237</v>
      </c>
      <c r="F6" s="4">
        <v>0.5</v>
      </c>
      <c r="G6" s="4">
        <v>261</v>
      </c>
      <c r="H6" s="4">
        <v>0.13</v>
      </c>
      <c r="I6" s="4">
        <v>120</v>
      </c>
      <c r="J6" s="4">
        <v>0.15</v>
      </c>
      <c r="K6" s="4">
        <v>80</v>
      </c>
      <c r="L6" s="4">
        <v>0.1</v>
      </c>
      <c r="M6" s="4"/>
      <c r="N6" s="4"/>
      <c r="O6" s="4"/>
      <c r="P6" s="4"/>
      <c r="Q6" s="1">
        <f aca="true" t="shared" si="0" ref="Q6:Q69">A6</f>
        <v>6037</v>
      </c>
    </row>
    <row r="7" spans="1:17" ht="26.25" customHeight="1">
      <c r="A7" s="4">
        <v>6160</v>
      </c>
      <c r="B7" s="4" t="s">
        <v>71</v>
      </c>
      <c r="C7" s="5">
        <v>-9.3</v>
      </c>
      <c r="D7" s="4">
        <v>1.31</v>
      </c>
      <c r="E7" s="4">
        <v>107</v>
      </c>
      <c r="F7" s="4">
        <v>0.5</v>
      </c>
      <c r="G7" s="4">
        <v>176</v>
      </c>
      <c r="H7" s="4">
        <v>0.5</v>
      </c>
      <c r="I7" s="4">
        <v>49</v>
      </c>
      <c r="J7" s="4">
        <v>0.25</v>
      </c>
      <c r="K7" s="4">
        <v>22</v>
      </c>
      <c r="L7" s="4">
        <v>0.17</v>
      </c>
      <c r="M7" s="4"/>
      <c r="N7" s="4"/>
      <c r="O7" s="4"/>
      <c r="P7" s="4"/>
      <c r="Q7" s="1">
        <f t="shared" si="0"/>
        <v>6160</v>
      </c>
    </row>
    <row r="8" spans="1:17" ht="26.25" customHeight="1">
      <c r="A8" s="4">
        <v>8154</v>
      </c>
      <c r="B8" s="4" t="s">
        <v>72</v>
      </c>
      <c r="C8" s="5">
        <v>-10</v>
      </c>
      <c r="D8" s="4">
        <v>0.43</v>
      </c>
      <c r="E8" s="4">
        <v>110</v>
      </c>
      <c r="F8" s="4">
        <v>0.08</v>
      </c>
      <c r="G8" s="4">
        <v>144</v>
      </c>
      <c r="H8" s="4">
        <v>0.03</v>
      </c>
      <c r="I8" s="4">
        <v>14</v>
      </c>
      <c r="J8" s="4">
        <v>0.06</v>
      </c>
      <c r="K8" s="4">
        <v>328</v>
      </c>
      <c r="L8" s="4">
        <v>0.05</v>
      </c>
      <c r="M8" s="4"/>
      <c r="N8" s="4"/>
      <c r="O8" s="4"/>
      <c r="P8" s="4"/>
      <c r="Q8" s="1">
        <f t="shared" si="0"/>
        <v>8154</v>
      </c>
    </row>
    <row r="9" spans="1:17" ht="26.25" customHeight="1">
      <c r="A9" s="4">
        <v>9487</v>
      </c>
      <c r="B9" s="4" t="s">
        <v>75</v>
      </c>
      <c r="C9" s="5">
        <v>5</v>
      </c>
      <c r="D9" s="4">
        <v>2.57</v>
      </c>
      <c r="E9" s="4">
        <v>103</v>
      </c>
      <c r="F9" s="4">
        <v>1.82</v>
      </c>
      <c r="G9" s="4">
        <v>154</v>
      </c>
      <c r="H9" s="4">
        <v>0.5</v>
      </c>
      <c r="I9" s="4">
        <v>347</v>
      </c>
      <c r="J9" s="4">
        <v>0.14</v>
      </c>
      <c r="K9" s="4">
        <v>3</v>
      </c>
      <c r="L9" s="4">
        <v>0.04</v>
      </c>
      <c r="M9" s="4">
        <v>188</v>
      </c>
      <c r="N9" s="4">
        <v>0.021</v>
      </c>
      <c r="O9" s="4">
        <v>51</v>
      </c>
      <c r="P9" s="4">
        <v>0.001</v>
      </c>
      <c r="Q9" s="1">
        <f t="shared" si="0"/>
        <v>9487</v>
      </c>
    </row>
    <row r="10" spans="1:17" ht="26.25" customHeight="1">
      <c r="A10" s="4">
        <v>62</v>
      </c>
      <c r="B10" s="4" t="s">
        <v>76</v>
      </c>
      <c r="C10" s="5">
        <v>0</v>
      </c>
      <c r="D10" s="4">
        <v>2.9</v>
      </c>
      <c r="E10" s="4">
        <v>328</v>
      </c>
      <c r="F10" s="4">
        <v>1.35</v>
      </c>
      <c r="G10" s="4">
        <v>14</v>
      </c>
      <c r="H10" s="4">
        <v>0.41</v>
      </c>
      <c r="I10" s="4">
        <v>113</v>
      </c>
      <c r="J10" s="4">
        <v>0.09</v>
      </c>
      <c r="K10" s="4">
        <v>347</v>
      </c>
      <c r="L10" s="4">
        <v>0.03</v>
      </c>
      <c r="M10" s="4">
        <v>91</v>
      </c>
      <c r="N10" s="4">
        <v>0.119</v>
      </c>
      <c r="O10" s="4">
        <v>245</v>
      </c>
      <c r="P10" s="4">
        <v>0.054</v>
      </c>
      <c r="Q10" s="1">
        <f t="shared" si="0"/>
        <v>62</v>
      </c>
    </row>
    <row r="11" spans="1:17" ht="26.25" customHeight="1">
      <c r="A11" s="4"/>
      <c r="B11" s="4" t="s">
        <v>73</v>
      </c>
      <c r="C11" s="5">
        <v>4</v>
      </c>
      <c r="D11" s="4">
        <v>0.67</v>
      </c>
      <c r="E11" s="4">
        <v>243</v>
      </c>
      <c r="F11" s="4">
        <v>0.35</v>
      </c>
      <c r="G11" s="4">
        <v>267</v>
      </c>
      <c r="H11" s="4">
        <v>0.08</v>
      </c>
      <c r="I11" s="4">
        <v>127</v>
      </c>
      <c r="J11" s="4">
        <v>0.07</v>
      </c>
      <c r="K11" s="4">
        <v>137</v>
      </c>
      <c r="L11" s="4">
        <v>0.05</v>
      </c>
      <c r="M11" s="4">
        <v>238</v>
      </c>
      <c r="N11" s="4">
        <v>0.013</v>
      </c>
      <c r="O11" s="4">
        <v>133</v>
      </c>
      <c r="P11" s="4">
        <v>0.022</v>
      </c>
      <c r="Q11" s="1">
        <f t="shared" si="0"/>
        <v>0</v>
      </c>
    </row>
    <row r="12" spans="1:17" ht="26.25" customHeight="1">
      <c r="A12" s="4"/>
      <c r="B12" s="4"/>
      <c r="C12" s="5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1">
        <f t="shared" si="0"/>
        <v>0</v>
      </c>
    </row>
    <row r="13" spans="1:17" ht="26.25" customHeight="1">
      <c r="A13" s="4"/>
      <c r="B13" s="4"/>
      <c r="C13" s="5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1">
        <f t="shared" si="0"/>
        <v>0</v>
      </c>
    </row>
    <row r="14" spans="1:17" ht="26.25" customHeight="1">
      <c r="A14" s="4"/>
      <c r="B14" s="4"/>
      <c r="C14" s="5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1">
        <f t="shared" si="0"/>
        <v>0</v>
      </c>
    </row>
    <row r="15" spans="1:17" ht="26.25" customHeight="1">
      <c r="A15" s="4"/>
      <c r="B15" s="4"/>
      <c r="C15" s="5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1">
        <f t="shared" si="0"/>
        <v>0</v>
      </c>
    </row>
    <row r="16" spans="1:17" ht="26.25" customHeight="1">
      <c r="A16" s="4"/>
      <c r="B16" s="4"/>
      <c r="C16" s="5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1">
        <f t="shared" si="0"/>
        <v>0</v>
      </c>
    </row>
    <row r="17" spans="1:17" ht="26.25" customHeight="1">
      <c r="A17" s="4"/>
      <c r="B17" s="4"/>
      <c r="C17" s="5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1">
        <f t="shared" si="0"/>
        <v>0</v>
      </c>
    </row>
    <row r="18" spans="1:17" ht="26.25" customHeight="1">
      <c r="A18" s="4"/>
      <c r="B18" s="4"/>
      <c r="C18" s="5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1">
        <f t="shared" si="0"/>
        <v>0</v>
      </c>
    </row>
    <row r="19" spans="1:17" ht="26.25" customHeight="1">
      <c r="A19" s="4"/>
      <c r="B19" s="4"/>
      <c r="C19" s="5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1">
        <f t="shared" si="0"/>
        <v>0</v>
      </c>
    </row>
    <row r="20" spans="1:17" ht="26.25" customHeight="1">
      <c r="A20" s="4"/>
      <c r="B20" s="4"/>
      <c r="C20" s="5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1">
        <f t="shared" si="0"/>
        <v>0</v>
      </c>
    </row>
    <row r="21" spans="1:17" ht="26.25" customHeight="1">
      <c r="A21" s="4"/>
      <c r="B21" s="4"/>
      <c r="C21" s="5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1">
        <f t="shared" si="0"/>
        <v>0</v>
      </c>
    </row>
    <row r="22" spans="1:17" ht="26.25" customHeight="1">
      <c r="A22" s="4"/>
      <c r="B22" s="4"/>
      <c r="C22" s="5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1">
        <f t="shared" si="0"/>
        <v>0</v>
      </c>
    </row>
    <row r="23" spans="1:17" ht="26.25" customHeight="1">
      <c r="A23" s="4"/>
      <c r="B23" s="4"/>
      <c r="C23" s="5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1">
        <f t="shared" si="0"/>
        <v>0</v>
      </c>
    </row>
    <row r="24" spans="1:17" ht="26.25" customHeight="1">
      <c r="A24" s="4"/>
      <c r="B24" s="4"/>
      <c r="C24" s="5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1">
        <f t="shared" si="0"/>
        <v>0</v>
      </c>
    </row>
    <row r="25" spans="1:17" ht="26.25" customHeight="1">
      <c r="A25" s="4"/>
      <c r="B25" s="4"/>
      <c r="C25" s="5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1">
        <f t="shared" si="0"/>
        <v>0</v>
      </c>
    </row>
    <row r="26" spans="1:17" ht="26.25" customHeight="1">
      <c r="A26" s="4"/>
      <c r="B26" s="4"/>
      <c r="C26" s="5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1">
        <f t="shared" si="0"/>
        <v>0</v>
      </c>
    </row>
    <row r="27" spans="1:17" ht="26.25" customHeight="1">
      <c r="A27" s="4"/>
      <c r="B27" s="4"/>
      <c r="C27" s="5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1">
        <f t="shared" si="0"/>
        <v>0</v>
      </c>
    </row>
    <row r="28" spans="1:17" ht="26.25" customHeight="1">
      <c r="A28" s="4"/>
      <c r="B28" s="4"/>
      <c r="C28" s="5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1">
        <f t="shared" si="0"/>
        <v>0</v>
      </c>
    </row>
    <row r="29" spans="1:17" ht="26.25" customHeight="1">
      <c r="A29" s="4"/>
      <c r="B29" s="4"/>
      <c r="C29" s="5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1">
        <f t="shared" si="0"/>
        <v>0</v>
      </c>
    </row>
    <row r="30" spans="1:17" ht="26.25" customHeight="1">
      <c r="A30" s="4"/>
      <c r="B30" s="4"/>
      <c r="C30" s="5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1">
        <f t="shared" si="0"/>
        <v>0</v>
      </c>
    </row>
    <row r="31" spans="1:17" ht="26.25" customHeight="1">
      <c r="A31" s="4"/>
      <c r="B31" s="4"/>
      <c r="C31" s="5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1">
        <f t="shared" si="0"/>
        <v>0</v>
      </c>
    </row>
    <row r="32" spans="1:17" ht="26.25" customHeight="1">
      <c r="A32" s="4"/>
      <c r="B32" s="4"/>
      <c r="C32" s="5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1">
        <f t="shared" si="0"/>
        <v>0</v>
      </c>
    </row>
    <row r="33" spans="1:17" ht="26.25" customHeight="1">
      <c r="A33" s="4"/>
      <c r="B33" s="4"/>
      <c r="C33" s="5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1">
        <f t="shared" si="0"/>
        <v>0</v>
      </c>
    </row>
    <row r="34" spans="1:17" ht="26.25" customHeight="1">
      <c r="A34" s="4"/>
      <c r="B34" s="4"/>
      <c r="C34" s="5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1">
        <f t="shared" si="0"/>
        <v>0</v>
      </c>
    </row>
    <row r="35" spans="1:17" ht="26.25" customHeight="1">
      <c r="A35" s="4"/>
      <c r="B35" s="4"/>
      <c r="C35" s="5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1">
        <f t="shared" si="0"/>
        <v>0</v>
      </c>
    </row>
    <row r="36" spans="1:17" ht="26.25" customHeight="1">
      <c r="A36" s="4"/>
      <c r="B36" s="4"/>
      <c r="C36" s="5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1">
        <f t="shared" si="0"/>
        <v>0</v>
      </c>
    </row>
    <row r="37" spans="1:17" ht="26.25" customHeight="1">
      <c r="A37" s="4"/>
      <c r="B37" s="4"/>
      <c r="C37" s="5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1">
        <f t="shared" si="0"/>
        <v>0</v>
      </c>
    </row>
    <row r="38" spans="1:17" ht="26.25" customHeight="1">
      <c r="A38" s="4"/>
      <c r="B38" s="4"/>
      <c r="C38" s="5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1">
        <f t="shared" si="0"/>
        <v>0</v>
      </c>
    </row>
    <row r="39" spans="1:17" ht="26.25" customHeight="1">
      <c r="A39" s="4"/>
      <c r="B39" s="4"/>
      <c r="C39" s="5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1">
        <f t="shared" si="0"/>
        <v>0</v>
      </c>
    </row>
    <row r="40" spans="1:17" ht="26.25" customHeight="1">
      <c r="A40" s="4"/>
      <c r="B40" s="4"/>
      <c r="C40" s="5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1">
        <f t="shared" si="0"/>
        <v>0</v>
      </c>
    </row>
    <row r="41" spans="1:17" ht="26.25" customHeight="1">
      <c r="A41" s="4"/>
      <c r="B41" s="4"/>
      <c r="C41" s="5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1">
        <f t="shared" si="0"/>
        <v>0</v>
      </c>
    </row>
    <row r="42" spans="1:17" ht="26.25" customHeight="1">
      <c r="A42" s="4"/>
      <c r="B42" s="4"/>
      <c r="C42" s="5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1">
        <f t="shared" si="0"/>
        <v>0</v>
      </c>
    </row>
    <row r="43" spans="1:17" ht="26.25" customHeight="1">
      <c r="A43" s="4"/>
      <c r="B43" s="4"/>
      <c r="C43" s="5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1">
        <f t="shared" si="0"/>
        <v>0</v>
      </c>
    </row>
    <row r="44" spans="1:17" ht="26.25" customHeight="1">
      <c r="A44" s="4"/>
      <c r="B44" s="4"/>
      <c r="C44" s="5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1">
        <f t="shared" si="0"/>
        <v>0</v>
      </c>
    </row>
    <row r="45" spans="1:17" ht="26.25" customHeight="1">
      <c r="A45" s="4"/>
      <c r="B45" s="4"/>
      <c r="C45" s="5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1">
        <f t="shared" si="0"/>
        <v>0</v>
      </c>
    </row>
    <row r="46" spans="1:17" ht="26.25" customHeight="1">
      <c r="A46" s="4"/>
      <c r="B46" s="4"/>
      <c r="C46" s="5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1">
        <f t="shared" si="0"/>
        <v>0</v>
      </c>
    </row>
    <row r="47" spans="1:17" ht="26.25" customHeight="1">
      <c r="A47" s="4"/>
      <c r="B47" s="4"/>
      <c r="C47" s="5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1">
        <f t="shared" si="0"/>
        <v>0</v>
      </c>
    </row>
    <row r="48" spans="1:17" ht="26.25" customHeight="1">
      <c r="A48" s="4"/>
      <c r="B48" s="4"/>
      <c r="C48" s="5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1">
        <f t="shared" si="0"/>
        <v>0</v>
      </c>
    </row>
    <row r="49" spans="1:17" ht="26.25" customHeight="1">
      <c r="A49" s="4"/>
      <c r="B49" s="4"/>
      <c r="C49" s="5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1">
        <f t="shared" si="0"/>
        <v>0</v>
      </c>
    </row>
    <row r="50" spans="1:17" ht="26.25" customHeight="1">
      <c r="A50" s="4"/>
      <c r="B50" s="4"/>
      <c r="C50" s="5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1">
        <f t="shared" si="0"/>
        <v>0</v>
      </c>
    </row>
    <row r="51" spans="1:17" ht="26.25" customHeight="1">
      <c r="A51" s="4"/>
      <c r="B51" s="4"/>
      <c r="C51" s="5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1">
        <f t="shared" si="0"/>
        <v>0</v>
      </c>
    </row>
    <row r="52" spans="1:17" ht="26.25" customHeight="1">
      <c r="A52" s="4"/>
      <c r="B52" s="4"/>
      <c r="C52" s="5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1">
        <f t="shared" si="0"/>
        <v>0</v>
      </c>
    </row>
    <row r="53" spans="1:17" ht="26.25" customHeight="1">
      <c r="A53" s="4"/>
      <c r="B53" s="4"/>
      <c r="C53" s="5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1">
        <f t="shared" si="0"/>
        <v>0</v>
      </c>
    </row>
    <row r="54" spans="1:17" ht="26.25" customHeight="1">
      <c r="A54" s="4"/>
      <c r="B54" s="4"/>
      <c r="C54" s="5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1">
        <f t="shared" si="0"/>
        <v>0</v>
      </c>
    </row>
    <row r="55" spans="1:17" ht="26.25" customHeight="1">
      <c r="A55" s="4"/>
      <c r="B55" s="4"/>
      <c r="C55" s="5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1">
        <f t="shared" si="0"/>
        <v>0</v>
      </c>
    </row>
    <row r="56" spans="1:17" ht="26.25" customHeight="1">
      <c r="A56" s="4"/>
      <c r="B56" s="4"/>
      <c r="C56" s="5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1">
        <f t="shared" si="0"/>
        <v>0</v>
      </c>
    </row>
    <row r="57" spans="1:17" ht="26.25" customHeight="1">
      <c r="A57" s="4"/>
      <c r="B57" s="4"/>
      <c r="C57" s="5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1">
        <f t="shared" si="0"/>
        <v>0</v>
      </c>
    </row>
    <row r="58" spans="1:17" ht="26.25" customHeight="1">
      <c r="A58" s="4"/>
      <c r="B58" s="4"/>
      <c r="C58" s="5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1">
        <f t="shared" si="0"/>
        <v>0</v>
      </c>
    </row>
    <row r="59" spans="1:17" ht="26.25" customHeight="1">
      <c r="A59" s="4"/>
      <c r="B59" s="4"/>
      <c r="C59" s="5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1">
        <f t="shared" si="0"/>
        <v>0</v>
      </c>
    </row>
    <row r="60" spans="1:17" ht="26.25" customHeight="1">
      <c r="A60" s="4"/>
      <c r="B60" s="4"/>
      <c r="C60" s="5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1">
        <f t="shared" si="0"/>
        <v>0</v>
      </c>
    </row>
    <row r="61" spans="1:17" ht="26.25" customHeight="1">
      <c r="A61" s="4"/>
      <c r="B61" s="4"/>
      <c r="C61" s="5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1">
        <f t="shared" si="0"/>
        <v>0</v>
      </c>
    </row>
    <row r="62" spans="1:17" ht="26.25" customHeight="1">
      <c r="A62" s="4"/>
      <c r="B62" s="4"/>
      <c r="C62" s="5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1">
        <f t="shared" si="0"/>
        <v>0</v>
      </c>
    </row>
    <row r="63" spans="1:17" ht="26.25" customHeight="1">
      <c r="A63" s="4"/>
      <c r="B63" s="4"/>
      <c r="C63" s="5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1">
        <f t="shared" si="0"/>
        <v>0</v>
      </c>
    </row>
    <row r="64" spans="1:17" ht="26.25" customHeight="1">
      <c r="A64" s="4"/>
      <c r="B64" s="4"/>
      <c r="C64" s="5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1">
        <f t="shared" si="0"/>
        <v>0</v>
      </c>
    </row>
    <row r="65" spans="1:17" ht="26.25" customHeight="1">
      <c r="A65" s="4"/>
      <c r="B65" s="4"/>
      <c r="C65" s="5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1">
        <f t="shared" si="0"/>
        <v>0</v>
      </c>
    </row>
    <row r="66" spans="1:17" ht="26.25" customHeight="1">
      <c r="A66" s="4"/>
      <c r="B66" s="4"/>
      <c r="C66" s="5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1">
        <f t="shared" si="0"/>
        <v>0</v>
      </c>
    </row>
    <row r="67" spans="1:17" ht="26.25" customHeight="1">
      <c r="A67" s="4"/>
      <c r="B67" s="4"/>
      <c r="C67" s="5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1">
        <f t="shared" si="0"/>
        <v>0</v>
      </c>
    </row>
    <row r="68" spans="1:17" ht="26.25" customHeight="1">
      <c r="A68" s="4"/>
      <c r="B68" s="4"/>
      <c r="C68" s="5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1">
        <f t="shared" si="0"/>
        <v>0</v>
      </c>
    </row>
    <row r="69" spans="1:17" ht="26.25" customHeight="1">
      <c r="A69" s="4"/>
      <c r="B69" s="4"/>
      <c r="C69" s="5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1">
        <f t="shared" si="0"/>
        <v>0</v>
      </c>
    </row>
    <row r="70" spans="1:17" ht="26.25" customHeight="1">
      <c r="A70" s="4"/>
      <c r="B70" s="4"/>
      <c r="C70" s="5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1">
        <f aca="true" t="shared" si="1" ref="Q70:Q100">A70</f>
        <v>0</v>
      </c>
    </row>
    <row r="71" spans="1:17" ht="26.25" customHeight="1">
      <c r="A71" s="4"/>
      <c r="B71" s="4"/>
      <c r="C71" s="5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1">
        <f t="shared" si="1"/>
        <v>0</v>
      </c>
    </row>
    <row r="72" spans="1:17" ht="26.25" customHeight="1">
      <c r="A72" s="4"/>
      <c r="B72" s="4"/>
      <c r="C72" s="5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1">
        <f t="shared" si="1"/>
        <v>0</v>
      </c>
    </row>
    <row r="73" spans="1:17" ht="26.25" customHeight="1">
      <c r="A73" s="4"/>
      <c r="B73" s="4"/>
      <c r="C73" s="5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1">
        <f t="shared" si="1"/>
        <v>0</v>
      </c>
    </row>
    <row r="74" spans="1:17" ht="26.25" customHeight="1">
      <c r="A74" s="4"/>
      <c r="B74" s="4"/>
      <c r="C74" s="5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1">
        <f t="shared" si="1"/>
        <v>0</v>
      </c>
    </row>
    <row r="75" spans="1:17" ht="26.25" customHeight="1">
      <c r="A75" s="4"/>
      <c r="B75" s="4"/>
      <c r="C75" s="5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1">
        <f t="shared" si="1"/>
        <v>0</v>
      </c>
    </row>
    <row r="76" spans="1:17" ht="26.25" customHeight="1">
      <c r="A76" s="4"/>
      <c r="B76" s="4"/>
      <c r="C76" s="5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1">
        <f t="shared" si="1"/>
        <v>0</v>
      </c>
    </row>
    <row r="77" spans="1:17" ht="26.25" customHeight="1">
      <c r="A77" s="4"/>
      <c r="B77" s="4"/>
      <c r="C77" s="5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1">
        <f t="shared" si="1"/>
        <v>0</v>
      </c>
    </row>
    <row r="78" spans="1:17" ht="26.25" customHeight="1">
      <c r="A78" s="4"/>
      <c r="B78" s="4"/>
      <c r="C78" s="5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1">
        <f t="shared" si="1"/>
        <v>0</v>
      </c>
    </row>
    <row r="79" spans="1:17" ht="26.25" customHeight="1">
      <c r="A79" s="4"/>
      <c r="B79" s="4"/>
      <c r="C79" s="5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1">
        <f t="shared" si="1"/>
        <v>0</v>
      </c>
    </row>
    <row r="80" spans="1:17" ht="26.25" customHeight="1">
      <c r="A80" s="4"/>
      <c r="B80" s="4"/>
      <c r="C80" s="5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1">
        <f t="shared" si="1"/>
        <v>0</v>
      </c>
    </row>
    <row r="81" spans="1:17" ht="26.25" customHeight="1">
      <c r="A81" s="4"/>
      <c r="B81" s="4"/>
      <c r="C81" s="5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1">
        <f t="shared" si="1"/>
        <v>0</v>
      </c>
    </row>
    <row r="82" spans="1:17" ht="26.25" customHeight="1">
      <c r="A82" s="4"/>
      <c r="B82" s="4"/>
      <c r="C82" s="5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1">
        <f t="shared" si="1"/>
        <v>0</v>
      </c>
    </row>
    <row r="83" spans="1:17" ht="26.25" customHeight="1">
      <c r="A83" s="4"/>
      <c r="B83" s="4"/>
      <c r="C83" s="5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1">
        <f t="shared" si="1"/>
        <v>0</v>
      </c>
    </row>
    <row r="84" spans="1:17" ht="26.25" customHeight="1">
      <c r="A84" s="4"/>
      <c r="B84" s="4"/>
      <c r="C84" s="5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1">
        <f t="shared" si="1"/>
        <v>0</v>
      </c>
    </row>
    <row r="85" spans="1:17" ht="26.25" customHeight="1">
      <c r="A85" s="4"/>
      <c r="B85" s="4"/>
      <c r="C85" s="5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1">
        <f t="shared" si="1"/>
        <v>0</v>
      </c>
    </row>
    <row r="86" spans="1:17" ht="26.25" customHeight="1">
      <c r="A86" s="4"/>
      <c r="B86" s="4"/>
      <c r="C86" s="5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1">
        <f t="shared" si="1"/>
        <v>0</v>
      </c>
    </row>
    <row r="87" spans="1:17" ht="26.25" customHeight="1">
      <c r="A87" s="4"/>
      <c r="B87" s="4"/>
      <c r="C87" s="5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1">
        <f t="shared" si="1"/>
        <v>0</v>
      </c>
    </row>
    <row r="88" spans="1:17" ht="26.25" customHeight="1">
      <c r="A88" s="4"/>
      <c r="B88" s="4"/>
      <c r="C88" s="5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1">
        <f t="shared" si="1"/>
        <v>0</v>
      </c>
    </row>
    <row r="89" spans="1:17" ht="26.25" customHeight="1">
      <c r="A89" s="4"/>
      <c r="B89" s="4"/>
      <c r="C89" s="5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1">
        <f t="shared" si="1"/>
        <v>0</v>
      </c>
    </row>
    <row r="90" spans="1:17" ht="26.25" customHeight="1">
      <c r="A90" s="4"/>
      <c r="B90" s="4"/>
      <c r="C90" s="5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1">
        <f t="shared" si="1"/>
        <v>0</v>
      </c>
    </row>
    <row r="91" spans="1:17" ht="26.25" customHeight="1">
      <c r="A91" s="4"/>
      <c r="B91" s="4"/>
      <c r="C91" s="5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1">
        <f t="shared" si="1"/>
        <v>0</v>
      </c>
    </row>
    <row r="92" spans="1:17" ht="26.25" customHeight="1">
      <c r="A92" s="4"/>
      <c r="B92" s="4"/>
      <c r="C92" s="5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1">
        <f t="shared" si="1"/>
        <v>0</v>
      </c>
    </row>
    <row r="93" spans="1:17" ht="26.25" customHeight="1">
      <c r="A93" s="4"/>
      <c r="B93" s="4"/>
      <c r="C93" s="5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1">
        <f t="shared" si="1"/>
        <v>0</v>
      </c>
    </row>
    <row r="94" spans="1:17" ht="26.25" customHeight="1">
      <c r="A94" s="4"/>
      <c r="B94" s="4"/>
      <c r="C94" s="5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1">
        <f t="shared" si="1"/>
        <v>0</v>
      </c>
    </row>
    <row r="95" spans="1:17" ht="26.25" customHeight="1">
      <c r="A95" s="4"/>
      <c r="B95" s="4"/>
      <c r="C95" s="5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1">
        <f t="shared" si="1"/>
        <v>0</v>
      </c>
    </row>
    <row r="96" spans="1:17" ht="26.25" customHeight="1">
      <c r="A96" s="4"/>
      <c r="B96" s="4"/>
      <c r="C96" s="5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1">
        <f t="shared" si="1"/>
        <v>0</v>
      </c>
    </row>
    <row r="97" spans="1:17" ht="26.25" customHeight="1">
      <c r="A97" s="4"/>
      <c r="B97" s="4"/>
      <c r="C97" s="5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1">
        <f t="shared" si="1"/>
        <v>0</v>
      </c>
    </row>
    <row r="98" spans="1:17" ht="26.25" customHeight="1">
      <c r="A98" s="4"/>
      <c r="B98" s="4"/>
      <c r="C98" s="5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1">
        <f t="shared" si="1"/>
        <v>0</v>
      </c>
    </row>
    <row r="99" spans="1:17" ht="26.25" customHeight="1">
      <c r="A99" s="4"/>
      <c r="B99" s="4"/>
      <c r="C99" s="5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1">
        <f t="shared" si="1"/>
        <v>0</v>
      </c>
    </row>
    <row r="100" spans="1:17" ht="26.25" customHeight="1">
      <c r="A100" s="4"/>
      <c r="B100" s="4"/>
      <c r="C100" s="5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1">
        <f t="shared" si="1"/>
        <v>0</v>
      </c>
    </row>
  </sheetData>
  <sheetProtection sheet="1" objects="1" scenarios="1"/>
  <mergeCells count="11">
    <mergeCell ref="M2:P2"/>
    <mergeCell ref="E3:F3"/>
    <mergeCell ref="G3:H3"/>
    <mergeCell ref="I3:J3"/>
    <mergeCell ref="K3:L3"/>
    <mergeCell ref="M3:N3"/>
    <mergeCell ref="O3:P3"/>
    <mergeCell ref="A2:A4"/>
    <mergeCell ref="B2:B4"/>
    <mergeCell ref="C2:C4"/>
    <mergeCell ref="E2:H2"/>
  </mergeCells>
  <printOptions/>
  <pageMargins left="0.75" right="0.75" top="1" bottom="1" header="0.5" footer="0.5"/>
  <pageSetup horizontalDpi="120" verticalDpi="12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3"/>
  <sheetViews>
    <sheetView tabSelected="1" workbookViewId="0" topLeftCell="A5">
      <selection activeCell="M17" sqref="M17"/>
    </sheetView>
  </sheetViews>
  <sheetFormatPr defaultColWidth="9.00390625" defaultRowHeight="12.75"/>
  <cols>
    <col min="1" max="1" width="9.125" style="1" customWidth="1"/>
    <col min="2" max="2" width="35.25390625" style="1" customWidth="1"/>
    <col min="3" max="3" width="8.125" style="1" customWidth="1"/>
    <col min="4" max="4" width="7.125" style="1" customWidth="1"/>
    <col min="5" max="5" width="9.125" style="1" customWidth="1"/>
    <col min="6" max="6" width="10.00390625" style="1" customWidth="1"/>
    <col min="7" max="7" width="14.875" style="1" bestFit="1" customWidth="1"/>
    <col min="8" max="16384" width="9.125" style="1" customWidth="1"/>
  </cols>
  <sheetData>
    <row r="1" spans="1:7" ht="33.75" customHeight="1">
      <c r="A1" s="6"/>
      <c r="G1" s="7" t="s">
        <v>0</v>
      </c>
    </row>
    <row r="2" spans="1:16" ht="12.75">
      <c r="A2" s="59" t="s">
        <v>1</v>
      </c>
      <c r="B2" s="59" t="s">
        <v>2</v>
      </c>
      <c r="C2" s="59" t="s">
        <v>3</v>
      </c>
      <c r="D2" s="2" t="s">
        <v>4</v>
      </c>
      <c r="E2" s="58" t="s">
        <v>6</v>
      </c>
      <c r="F2" s="58"/>
      <c r="G2" s="58"/>
      <c r="H2" s="58"/>
      <c r="I2" s="3"/>
      <c r="J2" s="3"/>
      <c r="K2" s="3"/>
      <c r="L2" s="3"/>
      <c r="M2" s="58" t="s">
        <v>14</v>
      </c>
      <c r="N2" s="58"/>
      <c r="O2" s="58"/>
      <c r="P2" s="58"/>
    </row>
    <row r="3" spans="1:16" ht="14.25">
      <c r="A3" s="59"/>
      <c r="B3" s="59"/>
      <c r="C3" s="59"/>
      <c r="D3" s="2" t="s">
        <v>7</v>
      </c>
      <c r="E3" s="58" t="s">
        <v>8</v>
      </c>
      <c r="F3" s="58"/>
      <c r="G3" s="58" t="s">
        <v>9</v>
      </c>
      <c r="H3" s="58"/>
      <c r="I3" s="58" t="s">
        <v>11</v>
      </c>
      <c r="J3" s="58"/>
      <c r="K3" s="58" t="s">
        <v>12</v>
      </c>
      <c r="L3" s="58"/>
      <c r="M3" s="58" t="s">
        <v>15</v>
      </c>
      <c r="N3" s="58"/>
      <c r="O3" s="58" t="s">
        <v>16</v>
      </c>
      <c r="P3" s="58"/>
    </row>
    <row r="4" spans="1:16" ht="16.5">
      <c r="A4" s="59"/>
      <c r="B4" s="59"/>
      <c r="C4" s="59"/>
      <c r="D4" s="2" t="s">
        <v>5</v>
      </c>
      <c r="E4" s="2" t="s">
        <v>13</v>
      </c>
      <c r="F4" s="2" t="s">
        <v>10</v>
      </c>
      <c r="G4" s="2" t="s">
        <v>13</v>
      </c>
      <c r="H4" s="2" t="s">
        <v>10</v>
      </c>
      <c r="I4" s="2" t="s">
        <v>13</v>
      </c>
      <c r="J4" s="2" t="s">
        <v>10</v>
      </c>
      <c r="K4" s="2" t="s">
        <v>13</v>
      </c>
      <c r="L4" s="2" t="s">
        <v>10</v>
      </c>
      <c r="M4" s="2" t="s">
        <v>17</v>
      </c>
      <c r="N4" s="2" t="s">
        <v>18</v>
      </c>
      <c r="O4" s="2" t="s">
        <v>19</v>
      </c>
      <c r="P4" s="2" t="s">
        <v>20</v>
      </c>
    </row>
    <row r="5" spans="1:16" ht="26.25" customHeight="1">
      <c r="A5" s="4"/>
      <c r="B5" s="4" t="s">
        <v>73</v>
      </c>
      <c r="C5" s="5">
        <v>4</v>
      </c>
      <c r="D5" s="4">
        <v>0.67</v>
      </c>
      <c r="E5" s="4">
        <v>243</v>
      </c>
      <c r="F5" s="4">
        <v>0.35</v>
      </c>
      <c r="G5" s="4">
        <v>267</v>
      </c>
      <c r="H5" s="4">
        <v>0.08</v>
      </c>
      <c r="I5" s="4">
        <v>127</v>
      </c>
      <c r="J5" s="4">
        <v>0.07</v>
      </c>
      <c r="K5" s="4">
        <v>137</v>
      </c>
      <c r="L5" s="4">
        <v>0.05</v>
      </c>
      <c r="M5" s="4">
        <v>238</v>
      </c>
      <c r="N5" s="4">
        <v>0.013</v>
      </c>
      <c r="O5" s="4">
        <v>133</v>
      </c>
      <c r="P5" s="4">
        <v>0.022</v>
      </c>
    </row>
    <row r="7" spans="4:15" ht="18.75">
      <c r="D7" s="60" t="s">
        <v>22</v>
      </c>
      <c r="E7" s="60"/>
      <c r="F7" s="60"/>
      <c r="G7" s="60"/>
      <c r="H7" s="60"/>
      <c r="N7" s="2" t="s">
        <v>44</v>
      </c>
      <c r="O7" s="13">
        <v>800</v>
      </c>
    </row>
    <row r="8" spans="4:12" ht="14.25">
      <c r="D8" s="63" t="s">
        <v>25</v>
      </c>
      <c r="E8" s="58" t="s">
        <v>8</v>
      </c>
      <c r="F8" s="58"/>
      <c r="G8" s="58" t="s">
        <v>9</v>
      </c>
      <c r="H8" s="58"/>
      <c r="I8" s="58" t="s">
        <v>11</v>
      </c>
      <c r="J8" s="58"/>
      <c r="K8" s="58" t="s">
        <v>12</v>
      </c>
      <c r="L8" s="58"/>
    </row>
    <row r="9" spans="4:15" ht="12.75">
      <c r="D9" s="64"/>
      <c r="E9" s="2" t="s">
        <v>26</v>
      </c>
      <c r="F9" s="2" t="s">
        <v>27</v>
      </c>
      <c r="G9" s="2" t="s">
        <v>26</v>
      </c>
      <c r="H9" s="2" t="s">
        <v>27</v>
      </c>
      <c r="I9" s="2" t="s">
        <v>26</v>
      </c>
      <c r="J9" s="2" t="s">
        <v>27</v>
      </c>
      <c r="K9" s="2" t="s">
        <v>26</v>
      </c>
      <c r="L9" s="2" t="s">
        <v>27</v>
      </c>
      <c r="N9" s="2" t="s">
        <v>24</v>
      </c>
      <c r="O9" s="14" t="s">
        <v>36</v>
      </c>
    </row>
    <row r="10" spans="4:12" ht="24.75" customHeight="1">
      <c r="D10" s="15">
        <v>10</v>
      </c>
      <c r="E10" s="16">
        <v>140</v>
      </c>
      <c r="F10" s="4">
        <v>0.93</v>
      </c>
      <c r="G10" s="16">
        <v>5</v>
      </c>
      <c r="H10" s="4">
        <v>1.3</v>
      </c>
      <c r="I10" s="16">
        <v>117</v>
      </c>
      <c r="J10" s="4">
        <v>0.88</v>
      </c>
      <c r="K10" s="16">
        <v>38</v>
      </c>
      <c r="L10" s="4">
        <v>1.2</v>
      </c>
    </row>
    <row r="11" spans="4:15" ht="25.5" customHeight="1">
      <c r="D11" s="15">
        <v>11</v>
      </c>
      <c r="E11" s="16">
        <v>164</v>
      </c>
      <c r="F11" s="4">
        <v>0.96</v>
      </c>
      <c r="G11" s="16">
        <v>4</v>
      </c>
      <c r="H11" s="4">
        <v>1.31</v>
      </c>
      <c r="I11" s="16">
        <v>115</v>
      </c>
      <c r="J11" s="4">
        <v>0.89</v>
      </c>
      <c r="K11" s="16">
        <v>64</v>
      </c>
      <c r="L11" s="4">
        <v>1.25</v>
      </c>
      <c r="N11" s="25" t="s">
        <v>23</v>
      </c>
      <c r="O11" s="4">
        <v>2005</v>
      </c>
    </row>
    <row r="13" spans="1:3" s="18" customFormat="1" ht="18.75">
      <c r="A13" s="18">
        <v>1</v>
      </c>
      <c r="B13" s="17" t="s">
        <v>46</v>
      </c>
      <c r="C13" s="18">
        <f>D5</f>
        <v>0.67</v>
      </c>
    </row>
    <row r="14" spans="1:3" s="18" customFormat="1" ht="15.75">
      <c r="A14" s="18">
        <f>A13+1</f>
        <v>2</v>
      </c>
      <c r="B14" s="48" t="s">
        <v>28</v>
      </c>
      <c r="C14" s="49"/>
    </row>
    <row r="15" spans="1:7" s="18" customFormat="1" ht="15.75">
      <c r="A15" s="18">
        <f aca="true" t="shared" si="0" ref="A15:A52">A14+1</f>
        <v>3</v>
      </c>
      <c r="B15" s="18" t="s">
        <v>29</v>
      </c>
      <c r="C15" s="18">
        <f>C14+C13</f>
        <v>0.67</v>
      </c>
      <c r="D15" s="19" t="str">
        <f>E8</f>
        <v>M2</v>
      </c>
      <c r="E15" s="19" t="str">
        <f>G8</f>
        <v>S2</v>
      </c>
      <c r="F15" s="19" t="str">
        <f>I8</f>
        <v>K1</v>
      </c>
      <c r="G15" s="19" t="str">
        <f>K8</f>
        <v>O1</v>
      </c>
    </row>
    <row r="16" spans="1:7" s="18" customFormat="1" ht="15.75">
      <c r="A16" s="18">
        <f t="shared" si="0"/>
        <v>4</v>
      </c>
      <c r="B16" s="18" t="s">
        <v>30</v>
      </c>
      <c r="D16" s="20">
        <f>E10</f>
        <v>140</v>
      </c>
      <c r="E16" s="20">
        <f>G10</f>
        <v>5</v>
      </c>
      <c r="F16" s="20">
        <f>I10</f>
        <v>117</v>
      </c>
      <c r="G16" s="20">
        <f>K10</f>
        <v>38</v>
      </c>
    </row>
    <row r="17" spans="1:7" s="18" customFormat="1" ht="15.75">
      <c r="A17" s="18">
        <f t="shared" si="0"/>
        <v>5</v>
      </c>
      <c r="B17" s="18" t="s">
        <v>31</v>
      </c>
      <c r="D17" s="20">
        <f>E11</f>
        <v>164</v>
      </c>
      <c r="E17" s="20">
        <f>G11</f>
        <v>4</v>
      </c>
      <c r="F17" s="20">
        <f>I11</f>
        <v>115</v>
      </c>
      <c r="G17" s="20">
        <f>K11</f>
        <v>64</v>
      </c>
    </row>
    <row r="18" spans="1:7" s="18" customFormat="1" ht="15.75">
      <c r="A18" s="18">
        <f t="shared" si="0"/>
        <v>6</v>
      </c>
      <c r="B18" s="18" t="s">
        <v>32</v>
      </c>
      <c r="D18" s="20">
        <f>D16-D17</f>
        <v>-24</v>
      </c>
      <c r="E18" s="20">
        <f>E16-E17</f>
        <v>1</v>
      </c>
      <c r="F18" s="20">
        <f>F16-F17</f>
        <v>2</v>
      </c>
      <c r="G18" s="20">
        <f>G16-G17</f>
        <v>-26</v>
      </c>
    </row>
    <row r="19" spans="2:7" s="18" customFormat="1" ht="15.75">
      <c r="B19" s="18" t="s">
        <v>50</v>
      </c>
      <c r="D19" s="20">
        <f>IF((D18)&gt;600,0,IF((D18+360)&gt;600,1,IF((D18+720)&gt;600,2,IF((D18+1080)&gt;600,3,IF((D18+1440)&gt;600,4,"?")))))</f>
        <v>2</v>
      </c>
      <c r="E19" s="20">
        <f>IF((E18)&gt;600,0,IF((E18+360)&gt;600,1,IF((E18+720)&gt;600,2,IF((E18+1080)&gt;600,3,IF((E18+1440)&gt;600,4,"?")))))</f>
        <v>2</v>
      </c>
      <c r="F19" s="20">
        <f>IF((F18)&gt;300,0,IF((F18+360)&gt;300,1,IF((F18+720)&gt;300,2,IF((F18+1080)&gt;300,3,IF((F18+1440)&gt;300,4,"?")))))</f>
        <v>1</v>
      </c>
      <c r="G19" s="20">
        <f>IF((G18)&gt;300,0,IF((G18+360)&gt;300,1,IF((G18+720)&gt;300,2,IF((G18+1080)&gt;300,3,IF((G18+1440)&gt;300,4,"?")))))</f>
        <v>1</v>
      </c>
    </row>
    <row r="20" spans="1:7" s="18" customFormat="1" ht="15.75">
      <c r="A20" s="18">
        <f>A18+1</f>
        <v>7</v>
      </c>
      <c r="B20" s="18" t="s">
        <v>33</v>
      </c>
      <c r="D20" s="18">
        <f>360*D19</f>
        <v>720</v>
      </c>
      <c r="E20" s="18">
        <f>360*E19</f>
        <v>720</v>
      </c>
      <c r="F20" s="18">
        <f>360*F19</f>
        <v>360</v>
      </c>
      <c r="G20" s="18">
        <f>360*G19</f>
        <v>360</v>
      </c>
    </row>
    <row r="21" spans="1:7" s="18" customFormat="1" ht="15.75">
      <c r="A21" s="18">
        <f t="shared" si="0"/>
        <v>8</v>
      </c>
      <c r="B21" s="18" t="s">
        <v>35</v>
      </c>
      <c r="D21" s="20">
        <f>D18+D20</f>
        <v>696</v>
      </c>
      <c r="E21" s="20">
        <f>E18+E20</f>
        <v>721</v>
      </c>
      <c r="F21" s="20">
        <f>F18+F20</f>
        <v>362</v>
      </c>
      <c r="G21" s="20">
        <f>G18+G20</f>
        <v>334</v>
      </c>
    </row>
    <row r="22" spans="1:7" s="18" customFormat="1" ht="15.75">
      <c r="A22" s="18">
        <f t="shared" si="0"/>
        <v>9</v>
      </c>
      <c r="B22" s="18" t="s">
        <v>34</v>
      </c>
      <c r="D22" s="18">
        <f>D21/24</f>
        <v>29</v>
      </c>
      <c r="E22" s="18">
        <f>E21/24</f>
        <v>30.041666666666668</v>
      </c>
      <c r="F22" s="18">
        <f>F21/24</f>
        <v>15.083333333333334</v>
      </c>
      <c r="G22" s="18">
        <f>G21/24</f>
        <v>13.916666666666666</v>
      </c>
    </row>
    <row r="23" spans="1:7" s="18" customFormat="1" ht="15.75">
      <c r="A23" s="18">
        <f t="shared" si="0"/>
        <v>10</v>
      </c>
      <c r="B23" s="18" t="str">
        <f>B16</f>
        <v>A1</v>
      </c>
      <c r="D23" s="18">
        <f>D16</f>
        <v>140</v>
      </c>
      <c r="E23" s="18">
        <f>E16</f>
        <v>5</v>
      </c>
      <c r="F23" s="18">
        <f>F16</f>
        <v>117</v>
      </c>
      <c r="G23" s="18">
        <f>G16</f>
        <v>38</v>
      </c>
    </row>
    <row r="24" spans="1:7" s="18" customFormat="1" ht="15.75">
      <c r="A24" s="18">
        <f t="shared" si="0"/>
        <v>11</v>
      </c>
      <c r="B24" s="18" t="s">
        <v>37</v>
      </c>
      <c r="D24" s="18">
        <f>E5</f>
        <v>243</v>
      </c>
      <c r="E24" s="18">
        <f>G5</f>
        <v>267</v>
      </c>
      <c r="F24" s="18">
        <f>I5</f>
        <v>127</v>
      </c>
      <c r="G24" s="18">
        <f>K5</f>
        <v>137</v>
      </c>
    </row>
    <row r="25" spans="1:7" s="18" customFormat="1" ht="15.75">
      <c r="A25" s="18">
        <f t="shared" si="0"/>
        <v>12</v>
      </c>
      <c r="B25" s="18" t="s">
        <v>38</v>
      </c>
      <c r="D25" s="18">
        <f>D24+D23</f>
        <v>383</v>
      </c>
      <c r="E25" s="18">
        <f>E24+E23</f>
        <v>272</v>
      </c>
      <c r="F25" s="18">
        <f>F24+F23</f>
        <v>244</v>
      </c>
      <c r="G25" s="18">
        <f>G24+G23</f>
        <v>175</v>
      </c>
    </row>
    <row r="26" spans="1:7" s="18" customFormat="1" ht="15.75">
      <c r="A26" s="18">
        <f t="shared" si="0"/>
        <v>13</v>
      </c>
      <c r="B26" s="18" t="s">
        <v>39</v>
      </c>
      <c r="D26" s="18">
        <f>F11</f>
        <v>0.96</v>
      </c>
      <c r="E26" s="18">
        <f>H11</f>
        <v>1.31</v>
      </c>
      <c r="F26" s="18">
        <f>J11</f>
        <v>0.89</v>
      </c>
      <c r="G26" s="18">
        <f>L11</f>
        <v>1.25</v>
      </c>
    </row>
    <row r="27" spans="1:7" s="18" customFormat="1" ht="15.75">
      <c r="A27" s="18">
        <f t="shared" si="0"/>
        <v>14</v>
      </c>
      <c r="B27" s="18" t="s">
        <v>40</v>
      </c>
      <c r="D27" s="18">
        <f>F10</f>
        <v>0.93</v>
      </c>
      <c r="E27" s="18">
        <f>H10</f>
        <v>1.3</v>
      </c>
      <c r="F27" s="18">
        <f>J10</f>
        <v>0.88</v>
      </c>
      <c r="G27" s="18">
        <f>L10</f>
        <v>1.2</v>
      </c>
    </row>
    <row r="28" spans="1:7" s="18" customFormat="1" ht="15.75">
      <c r="A28" s="18">
        <f t="shared" si="0"/>
        <v>15</v>
      </c>
      <c r="B28" s="18" t="s">
        <v>41</v>
      </c>
      <c r="D28" s="18">
        <f>D26-D27</f>
        <v>0.029999999999999916</v>
      </c>
      <c r="E28" s="18">
        <f>E26-E27</f>
        <v>0.010000000000000009</v>
      </c>
      <c r="F28" s="18">
        <f>F26-F27</f>
        <v>0.010000000000000009</v>
      </c>
      <c r="G28" s="18">
        <f>G26-G27</f>
        <v>0.050000000000000044</v>
      </c>
    </row>
    <row r="29" spans="1:7" s="18" customFormat="1" ht="15.75">
      <c r="A29" s="18">
        <f t="shared" si="0"/>
        <v>16</v>
      </c>
      <c r="B29" s="18" t="s">
        <v>42</v>
      </c>
      <c r="D29" s="18">
        <f>D28/24</f>
        <v>0.0012499999999999966</v>
      </c>
      <c r="E29" s="18">
        <f>E28/24</f>
        <v>0.000416666666666667</v>
      </c>
      <c r="F29" s="18">
        <f>F28/24</f>
        <v>0.000416666666666667</v>
      </c>
      <c r="G29" s="18">
        <f>G28/24</f>
        <v>0.002083333333333335</v>
      </c>
    </row>
    <row r="30" spans="1:7" s="18" customFormat="1" ht="15.75">
      <c r="A30" s="18">
        <f t="shared" si="0"/>
        <v>17</v>
      </c>
      <c r="B30" s="18" t="s">
        <v>43</v>
      </c>
      <c r="C30" s="21">
        <f>O7</f>
        <v>800</v>
      </c>
      <c r="D30" s="21">
        <f>C30</f>
        <v>800</v>
      </c>
      <c r="E30" s="21">
        <f>D30</f>
        <v>800</v>
      </c>
      <c r="F30" s="21">
        <f>E30</f>
        <v>800</v>
      </c>
      <c r="G30" s="21">
        <f>F30</f>
        <v>800</v>
      </c>
    </row>
    <row r="31" spans="1:7" s="18" customFormat="1" ht="15.75">
      <c r="A31" s="18">
        <f t="shared" si="0"/>
        <v>18</v>
      </c>
      <c r="B31" s="18" t="str">
        <f>B22</f>
        <v>p/24</v>
      </c>
      <c r="D31" s="18">
        <f>D22</f>
        <v>29</v>
      </c>
      <c r="E31" s="18">
        <f>E22</f>
        <v>30.041666666666668</v>
      </c>
      <c r="F31" s="18">
        <f>F22</f>
        <v>15.083333333333334</v>
      </c>
      <c r="G31" s="18">
        <f>G22</f>
        <v>13.916666666666666</v>
      </c>
    </row>
    <row r="32" spans="1:7" s="18" customFormat="1" ht="15.75">
      <c r="A32" s="18">
        <f t="shared" si="0"/>
        <v>19</v>
      </c>
      <c r="B32" s="18" t="s">
        <v>45</v>
      </c>
      <c r="D32" s="18">
        <f>D31*$C$30/100</f>
        <v>232</v>
      </c>
      <c r="E32" s="18">
        <f>E31*$C$30/100</f>
        <v>240.33333333333337</v>
      </c>
      <c r="F32" s="18">
        <f>F31*$C$30/100</f>
        <v>120.66666666666669</v>
      </c>
      <c r="G32" s="18">
        <f>G31*$C$30/100</f>
        <v>111.33333333333331</v>
      </c>
    </row>
    <row r="33" spans="1:7" s="18" customFormat="1" ht="15.75">
      <c r="A33" s="18">
        <f t="shared" si="0"/>
        <v>20</v>
      </c>
      <c r="B33" s="18" t="str">
        <f>B25</f>
        <v>A1+g</v>
      </c>
      <c r="D33" s="18">
        <f>D25</f>
        <v>383</v>
      </c>
      <c r="E33" s="18">
        <f>E25</f>
        <v>272</v>
      </c>
      <c r="F33" s="18">
        <f>F25</f>
        <v>244</v>
      </c>
      <c r="G33" s="18">
        <f>G25</f>
        <v>175</v>
      </c>
    </row>
    <row r="34" spans="1:7" s="18" customFormat="1" ht="15.75">
      <c r="A34" s="18">
        <f t="shared" si="0"/>
        <v>21</v>
      </c>
      <c r="B34" s="18" t="s">
        <v>47</v>
      </c>
      <c r="D34" s="18">
        <f>D33-D32</f>
        <v>151</v>
      </c>
      <c r="E34" s="18">
        <f>E33-E32</f>
        <v>31.66666666666663</v>
      </c>
      <c r="F34" s="18">
        <f>F33-F32</f>
        <v>123.33333333333331</v>
      </c>
      <c r="G34" s="18">
        <f>G33-G32</f>
        <v>63.666666666666686</v>
      </c>
    </row>
    <row r="35" spans="1:7" s="18" customFormat="1" ht="15.75">
      <c r="A35" s="18">
        <f t="shared" si="0"/>
        <v>22</v>
      </c>
      <c r="B35" s="18" t="s">
        <v>48</v>
      </c>
      <c r="D35" s="18">
        <f>SIN(RADIANS(D34))</f>
        <v>0.48480962024633717</v>
      </c>
      <c r="E35" s="18">
        <f>SIN(RADIANS(E34))</f>
        <v>0.5249765803345595</v>
      </c>
      <c r="F35" s="22"/>
      <c r="G35" s="22"/>
    </row>
    <row r="36" spans="1:7" s="18" customFormat="1" ht="15.75">
      <c r="A36" s="18">
        <f t="shared" si="0"/>
        <v>23</v>
      </c>
      <c r="B36" s="18" t="s">
        <v>49</v>
      </c>
      <c r="D36" s="18">
        <f>COS(RADIANS(D34))</f>
        <v>-0.8746197071393957</v>
      </c>
      <c r="E36" s="18">
        <f>COS(RADIANS(E34))</f>
        <v>0.8511166724370001</v>
      </c>
      <c r="F36" s="18">
        <f>COS(RADIANS(F34))</f>
        <v>-0.5495089780708057</v>
      </c>
      <c r="G36" s="18">
        <f>COS(RADIANS(G34))</f>
        <v>0.44359267047663564</v>
      </c>
    </row>
    <row r="37" spans="1:7" s="18" customFormat="1" ht="15.75">
      <c r="A37" s="18">
        <f t="shared" si="0"/>
        <v>24</v>
      </c>
      <c r="B37" s="18" t="str">
        <f>B29</f>
        <v>P/24</v>
      </c>
      <c r="D37" s="18">
        <f>D29</f>
        <v>0.0012499999999999966</v>
      </c>
      <c r="E37" s="18">
        <f>E29</f>
        <v>0.000416666666666667</v>
      </c>
      <c r="F37" s="18">
        <f>F29</f>
        <v>0.000416666666666667</v>
      </c>
      <c r="G37" s="18">
        <f>G29</f>
        <v>0.002083333333333335</v>
      </c>
    </row>
    <row r="38" spans="1:7" s="18" customFormat="1" ht="15.75">
      <c r="A38" s="18">
        <f t="shared" si="0"/>
        <v>25</v>
      </c>
      <c r="B38" s="18" t="s">
        <v>52</v>
      </c>
      <c r="D38" s="18">
        <f>D37*D30/100</f>
        <v>0.009999999999999972</v>
      </c>
      <c r="E38" s="18">
        <f>E37*E30/100</f>
        <v>0.0033333333333333357</v>
      </c>
      <c r="F38" s="18">
        <f>F37*F30/100</f>
        <v>0.0033333333333333357</v>
      </c>
      <c r="G38" s="18">
        <f>G37*G30/100</f>
        <v>0.01666666666666668</v>
      </c>
    </row>
    <row r="39" spans="1:7" s="18" customFormat="1" ht="15.75">
      <c r="A39" s="18">
        <f t="shared" si="0"/>
        <v>26</v>
      </c>
      <c r="B39" s="18" t="str">
        <f>B27</f>
        <v>F1</v>
      </c>
      <c r="D39" s="18">
        <f>D27</f>
        <v>0.93</v>
      </c>
      <c r="E39" s="18">
        <f>E27</f>
        <v>1.3</v>
      </c>
      <c r="F39" s="18">
        <f>F27</f>
        <v>0.88</v>
      </c>
      <c r="G39" s="18">
        <f>G27</f>
        <v>1.2</v>
      </c>
    </row>
    <row r="40" spans="1:7" s="18" customFormat="1" ht="15.75">
      <c r="A40" s="18">
        <f t="shared" si="0"/>
        <v>27</v>
      </c>
      <c r="B40" s="18" t="s">
        <v>51</v>
      </c>
      <c r="D40" s="18">
        <f>D39+D38</f>
        <v>0.9400000000000001</v>
      </c>
      <c r="E40" s="18">
        <f>E39+E38</f>
        <v>1.3033333333333335</v>
      </c>
      <c r="F40" s="18">
        <f>F39+F38</f>
        <v>0.8833333333333333</v>
      </c>
      <c r="G40" s="18">
        <f>G39+G38</f>
        <v>1.2166666666666666</v>
      </c>
    </row>
    <row r="41" spans="1:7" s="18" customFormat="1" ht="15.75">
      <c r="A41" s="18">
        <f t="shared" si="0"/>
        <v>28</v>
      </c>
      <c r="B41" s="18" t="s">
        <v>53</v>
      </c>
      <c r="D41" s="18">
        <f>F5</f>
        <v>0.35</v>
      </c>
      <c r="E41" s="18">
        <f>H5</f>
        <v>0.08</v>
      </c>
      <c r="F41" s="18">
        <f>J5</f>
        <v>0.07</v>
      </c>
      <c r="G41" s="18">
        <f>L5</f>
        <v>0.05</v>
      </c>
    </row>
    <row r="42" spans="1:7" s="18" customFormat="1" ht="15.75">
      <c r="A42" s="18">
        <f t="shared" si="0"/>
        <v>29</v>
      </c>
      <c r="B42" s="18" t="s">
        <v>54</v>
      </c>
      <c r="D42" s="18">
        <f>D41*D40</f>
        <v>0.329</v>
      </c>
      <c r="E42" s="18">
        <f>E41*E40</f>
        <v>0.10426666666666667</v>
      </c>
      <c r="F42" s="18">
        <f>F41*F40</f>
        <v>0.06183333333333334</v>
      </c>
      <c r="G42" s="18">
        <f>G41*G40</f>
        <v>0.06083333333333333</v>
      </c>
    </row>
    <row r="43" spans="1:7" s="18" customFormat="1" ht="15.75">
      <c r="A43" s="18">
        <f t="shared" si="0"/>
        <v>30</v>
      </c>
      <c r="B43" s="18" t="s">
        <v>55</v>
      </c>
      <c r="D43" s="18">
        <f>D42*D35</f>
        <v>0.15950236506104493</v>
      </c>
      <c r="E43" s="18">
        <f>E42*E35</f>
        <v>0.054737558109550076</v>
      </c>
      <c r="F43" s="22"/>
      <c r="G43" s="22"/>
    </row>
    <row r="44" spans="1:7" s="18" customFormat="1" ht="15.75">
      <c r="A44" s="18">
        <f t="shared" si="0"/>
        <v>31</v>
      </c>
      <c r="B44" s="18" t="s">
        <v>56</v>
      </c>
      <c r="D44" s="18">
        <f>D42*D36</f>
        <v>-0.2877498836488612</v>
      </c>
      <c r="E44" s="18">
        <f>E42*E36</f>
        <v>0.08874309837943122</v>
      </c>
      <c r="F44" s="22"/>
      <c r="G44" s="22"/>
    </row>
    <row r="45" spans="1:5" s="18" customFormat="1" ht="15.75">
      <c r="A45" s="18">
        <f>A44+1</f>
        <v>32</v>
      </c>
      <c r="B45" s="23" t="s">
        <v>60</v>
      </c>
      <c r="D45" s="18">
        <f>D43+E43</f>
        <v>0.214239923170595</v>
      </c>
      <c r="E45" s="18">
        <f>D44+E44</f>
        <v>-0.19900678526943</v>
      </c>
    </row>
    <row r="46" spans="1:5" s="18" customFormat="1" ht="15.75">
      <c r="A46" s="18">
        <f t="shared" si="0"/>
        <v>33</v>
      </c>
      <c r="B46" s="23" t="s">
        <v>57</v>
      </c>
      <c r="D46" s="18">
        <f>IF(DEGREES(ATAN(D45/E45))&lt;0,DEGREES(ATAN(D45/E45))+180,DEGREES(ATAN(D45/E45)))</f>
        <v>132.8889135886293</v>
      </c>
      <c r="E46" s="18">
        <f>D45/(SIN(RADIANS(D46)))</f>
        <v>0.29240801162658914</v>
      </c>
    </row>
    <row r="47" spans="1:5" s="18" customFormat="1" ht="18.75">
      <c r="A47" s="18">
        <f t="shared" si="0"/>
        <v>34</v>
      </c>
      <c r="B47" s="23" t="s">
        <v>58</v>
      </c>
      <c r="D47" s="18">
        <f>D46*2</f>
        <v>265.7778271772586</v>
      </c>
      <c r="E47" s="18">
        <f>E46^2</f>
        <v>0.0855024452634155</v>
      </c>
    </row>
    <row r="48" spans="1:7" s="18" customFormat="1" ht="15.75">
      <c r="A48" s="18">
        <f t="shared" si="0"/>
        <v>35</v>
      </c>
      <c r="B48" s="23" t="s">
        <v>59</v>
      </c>
      <c r="D48" s="18">
        <f>M5</f>
        <v>238</v>
      </c>
      <c r="E48" s="18">
        <f>N5</f>
        <v>0.013</v>
      </c>
      <c r="F48" s="23" t="s">
        <v>65</v>
      </c>
      <c r="G48" s="18">
        <f>F42*F36</f>
        <v>-0.03397797181071149</v>
      </c>
    </row>
    <row r="49" spans="1:7" s="18" customFormat="1" ht="18.75">
      <c r="A49" s="18">
        <f t="shared" si="0"/>
        <v>36</v>
      </c>
      <c r="B49" s="23" t="s">
        <v>61</v>
      </c>
      <c r="D49" s="18">
        <f>D47+D48</f>
        <v>503.7778271772586</v>
      </c>
      <c r="E49" s="18">
        <f>E47*E48</f>
        <v>0.0011115317884244013</v>
      </c>
      <c r="F49" s="23" t="s">
        <v>66</v>
      </c>
      <c r="G49" s="18">
        <f>G42*G36</f>
        <v>0.02698522078732867</v>
      </c>
    </row>
    <row r="50" spans="1:7" s="18" customFormat="1" ht="18.75">
      <c r="A50" s="18">
        <f t="shared" si="0"/>
        <v>37</v>
      </c>
      <c r="B50" s="23" t="s">
        <v>62</v>
      </c>
      <c r="D50" s="18">
        <f>3*D46</f>
        <v>398.6667407658879</v>
      </c>
      <c r="E50" s="18">
        <f>E46^3</f>
        <v>0.0250016000086866</v>
      </c>
      <c r="F50" s="23" t="s">
        <v>4</v>
      </c>
      <c r="G50" s="18">
        <f>C15</f>
        <v>0.67</v>
      </c>
    </row>
    <row r="51" spans="1:7" s="18" customFormat="1" ht="15.75">
      <c r="A51" s="18">
        <f t="shared" si="0"/>
        <v>38</v>
      </c>
      <c r="B51" s="23" t="s">
        <v>63</v>
      </c>
      <c r="D51" s="18">
        <f>O5</f>
        <v>133</v>
      </c>
      <c r="E51" s="18">
        <f>P5</f>
        <v>0.022</v>
      </c>
      <c r="F51" s="23" t="s">
        <v>67</v>
      </c>
      <c r="G51" s="18">
        <f>E49*COS(RADIANS(D49))</f>
        <v>-0.0008967079225754192</v>
      </c>
    </row>
    <row r="52" spans="1:7" s="18" customFormat="1" ht="18.75">
      <c r="A52" s="18">
        <f t="shared" si="0"/>
        <v>39</v>
      </c>
      <c r="B52" s="23" t="s">
        <v>64</v>
      </c>
      <c r="D52" s="18">
        <f>D50+D51</f>
        <v>531.6667407658879</v>
      </c>
      <c r="E52" s="18">
        <f>E50*E51</f>
        <v>0.0005500352001911052</v>
      </c>
      <c r="F52" s="23" t="s">
        <v>68</v>
      </c>
      <c r="G52" s="18">
        <f>E52*COS(RADIANS(D52))</f>
        <v>-0.0005442278328506709</v>
      </c>
    </row>
    <row r="53" spans="1:7" s="18" customFormat="1" ht="20.25">
      <c r="A53" s="18">
        <f>A52+1</f>
        <v>40</v>
      </c>
      <c r="B53" s="18" t="s">
        <v>69</v>
      </c>
      <c r="G53" s="24">
        <f>SUM(G48:G52)</f>
        <v>0.6615663132211911</v>
      </c>
    </row>
  </sheetData>
  <sheetProtection/>
  <mergeCells count="17">
    <mergeCell ref="M2:P2"/>
    <mergeCell ref="M3:N3"/>
    <mergeCell ref="O3:P3"/>
    <mergeCell ref="A2:A4"/>
    <mergeCell ref="B2:B4"/>
    <mergeCell ref="C2:C4"/>
    <mergeCell ref="E2:H2"/>
    <mergeCell ref="E3:F3"/>
    <mergeCell ref="G3:H3"/>
    <mergeCell ref="I8:J8"/>
    <mergeCell ref="K8:L8"/>
    <mergeCell ref="I3:J3"/>
    <mergeCell ref="K3:L3"/>
    <mergeCell ref="D7:H7"/>
    <mergeCell ref="D8:D9"/>
    <mergeCell ref="E8:F8"/>
    <mergeCell ref="G8:H8"/>
  </mergeCells>
  <printOptions/>
  <pageMargins left="0.75" right="0.75" top="1" bottom="1" header="0.5" footer="0.5"/>
  <pageSetup horizontalDpi="120" verticalDpi="12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Oleg Boriskin</dc:creator>
  <cp:keywords/>
  <dc:description/>
  <cp:lastModifiedBy>Олег</cp:lastModifiedBy>
  <dcterms:created xsi:type="dcterms:W3CDTF">2006-10-05T07:58:18Z</dcterms:created>
  <dcterms:modified xsi:type="dcterms:W3CDTF">2006-10-27T04:34:09Z</dcterms:modified>
  <cp:category/>
  <cp:version/>
  <cp:contentType/>
  <cp:contentStatus/>
</cp:coreProperties>
</file>