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0" windowWidth="9720" windowHeight="6240" activeTab="1"/>
  </bookViews>
  <sheets>
    <sheet name="Data" sheetId="1" r:id="rId1"/>
    <sheet name="VLP" sheetId="2" r:id="rId2"/>
    <sheet name="Tables" sheetId="3" state="hidden" r:id="rId3"/>
  </sheets>
  <definedNames>
    <definedName name="_xlnm.Print_Area" localSheetId="1">'VLP'!$A$1:$U$96</definedName>
  </definedNames>
  <calcPr fullCalcOnLoad="1"/>
</workbook>
</file>

<file path=xl/sharedStrings.xml><?xml version="1.0" encoding="utf-8"?>
<sst xmlns="http://schemas.openxmlformats.org/spreadsheetml/2006/main" count="328" uniqueCount="89">
  <si>
    <t>Tгр</t>
  </si>
  <si>
    <t>j</t>
  </si>
  <si>
    <t>l</t>
  </si>
  <si>
    <t>Date</t>
  </si>
  <si>
    <t>ОС</t>
  </si>
  <si>
    <t>'</t>
  </si>
  <si>
    <t>N</t>
  </si>
  <si>
    <t>W</t>
  </si>
  <si>
    <t>UTC</t>
  </si>
  <si>
    <t>t гр</t>
  </si>
  <si>
    <t>D1</t>
  </si>
  <si>
    <t>D2</t>
  </si>
  <si>
    <t>t м</t>
  </si>
  <si>
    <t>+</t>
  </si>
  <si>
    <t>d</t>
  </si>
  <si>
    <t>Dd</t>
  </si>
  <si>
    <t>i</t>
  </si>
  <si>
    <t>hd</t>
  </si>
  <si>
    <t>hr</t>
  </si>
  <si>
    <t>e</t>
  </si>
  <si>
    <t>m</t>
  </si>
  <si>
    <t>s</t>
  </si>
  <si>
    <t>L</t>
  </si>
  <si>
    <t>D/2</t>
  </si>
  <si>
    <t>ho</t>
  </si>
  <si>
    <t>hт</t>
  </si>
  <si>
    <t>Dj</t>
  </si>
  <si>
    <t>DT</t>
  </si>
  <si>
    <t>hc</t>
  </si>
  <si>
    <t>Aт</t>
  </si>
  <si>
    <t>Ас</t>
  </si>
  <si>
    <t>q</t>
  </si>
  <si>
    <t>n</t>
  </si>
  <si>
    <t>Ввод данных для расчета места судна по ВЛП Солнца</t>
  </si>
  <si>
    <t>Date:</t>
  </si>
  <si>
    <t>UTC:</t>
  </si>
  <si>
    <t>OC</t>
  </si>
  <si>
    <t>t</t>
  </si>
  <si>
    <t>B</t>
  </si>
  <si>
    <t>Край солнца</t>
  </si>
  <si>
    <t>Из "МАЕ" на Гринвические дату и время</t>
  </si>
  <si>
    <t>Данные для расчета первой Высотной Линии Положения</t>
  </si>
  <si>
    <t>после символа, а минуты с десятыми в следующую!</t>
  </si>
  <si>
    <t xml:space="preserve">Градусы и минуты любых значений нужно вводить в разные ячейки: градусы в первую ячейку </t>
  </si>
  <si>
    <t>Данные для расчета второй Высотной Линии Положения</t>
  </si>
  <si>
    <t>Для нижнего края солнца "L", а "H" - верхнего.</t>
  </si>
  <si>
    <t>со своим знаком:</t>
  </si>
  <si>
    <t>º</t>
  </si>
  <si>
    <t>После ввода данных перейдите на страницу "VLP" и нажмите на "Печать"</t>
  </si>
  <si>
    <t>ОТШ</t>
  </si>
  <si>
    <t>РШ</t>
  </si>
  <si>
    <t>c</t>
  </si>
  <si>
    <t>Deviation</t>
  </si>
  <si>
    <t>-</t>
  </si>
  <si>
    <t>C</t>
  </si>
  <si>
    <t>ht,B</t>
  </si>
  <si>
    <t>Из "МАЕ" по высоте светила выбирите</t>
  </si>
  <si>
    <r>
      <t xml:space="preserve">поправку за температуру </t>
    </r>
    <r>
      <rPr>
        <b/>
        <sz val="11"/>
        <rFont val="Times New Roman Cyr"/>
        <family val="1"/>
      </rPr>
      <t>t</t>
    </r>
    <r>
      <rPr>
        <sz val="11"/>
        <rFont val="Times New Roman Cyr"/>
        <family val="1"/>
      </rPr>
      <t xml:space="preserve"> и давление </t>
    </r>
    <r>
      <rPr>
        <b/>
        <sz val="11"/>
        <rFont val="Times New Roman Cyr"/>
        <family val="1"/>
      </rPr>
      <t>B</t>
    </r>
    <r>
      <rPr>
        <sz val="11"/>
        <rFont val="Times New Roman Cyr"/>
        <family val="1"/>
      </rPr>
      <t xml:space="preserve"> </t>
    </r>
  </si>
  <si>
    <t>º C</t>
  </si>
  <si>
    <t>mm</t>
  </si>
  <si>
    <r>
      <t xml:space="preserve">выбирите Гринвический часовой угол " </t>
    </r>
    <r>
      <rPr>
        <b/>
        <sz val="11"/>
        <rFont val="Times New Roman Cyr"/>
        <family val="1"/>
      </rPr>
      <t>t</t>
    </r>
    <r>
      <rPr>
        <sz val="11"/>
        <rFont val="Times New Roman Cyr"/>
        <family val="1"/>
      </rPr>
      <t xml:space="preserve"> " </t>
    </r>
  </si>
  <si>
    <r>
      <t xml:space="preserve">с поправками " </t>
    </r>
    <r>
      <rPr>
        <b/>
        <sz val="11"/>
        <rFont val="Symbol"/>
        <family val="1"/>
      </rPr>
      <t>D</t>
    </r>
    <r>
      <rPr>
        <b/>
        <sz val="11"/>
        <rFont val="Times New Roman Cyr"/>
        <family val="1"/>
      </rPr>
      <t xml:space="preserve">1 </t>
    </r>
    <r>
      <rPr>
        <sz val="11"/>
        <rFont val="Times New Roman Cyr"/>
        <family val="1"/>
      </rPr>
      <t xml:space="preserve">" " </t>
    </r>
    <r>
      <rPr>
        <b/>
        <sz val="11"/>
        <rFont val="Symbol"/>
        <family val="1"/>
      </rPr>
      <t>D</t>
    </r>
    <r>
      <rPr>
        <b/>
        <sz val="11"/>
        <rFont val="Times New Roman Cyr"/>
        <family val="1"/>
      </rPr>
      <t>2</t>
    </r>
    <r>
      <rPr>
        <sz val="11"/>
        <rFont val="Times New Roman Cyr"/>
        <family val="1"/>
      </rPr>
      <t xml:space="preserve"> "</t>
    </r>
  </si>
  <si>
    <r>
      <t xml:space="preserve">и склонение " </t>
    </r>
    <r>
      <rPr>
        <b/>
        <sz val="11"/>
        <rFont val="Symbol"/>
        <family val="1"/>
      </rPr>
      <t>d</t>
    </r>
    <r>
      <rPr>
        <sz val="11"/>
        <rFont val="Times New Roman Cyr"/>
        <family val="1"/>
      </rPr>
      <t xml:space="preserve"> " солнца с поправкой " </t>
    </r>
    <r>
      <rPr>
        <b/>
        <sz val="11"/>
        <rFont val="Symbol"/>
        <family val="1"/>
      </rPr>
      <t>Dd</t>
    </r>
    <r>
      <rPr>
        <sz val="11"/>
        <rFont val="Times New Roman Cyr"/>
        <family val="1"/>
      </rPr>
      <t xml:space="preserve"> " </t>
    </r>
  </si>
  <si>
    <r>
      <t xml:space="preserve">с поправками " </t>
    </r>
    <r>
      <rPr>
        <b/>
        <sz val="11"/>
        <rFont val="Symbol"/>
        <family val="1"/>
      </rPr>
      <t>D</t>
    </r>
    <r>
      <rPr>
        <b/>
        <sz val="11"/>
        <rFont val="Times New Roman Cyr"/>
        <family val="1"/>
      </rPr>
      <t>1</t>
    </r>
    <r>
      <rPr>
        <sz val="11"/>
        <rFont val="Times New Roman Cyr"/>
        <family val="1"/>
      </rPr>
      <t xml:space="preserve"> " " </t>
    </r>
    <r>
      <rPr>
        <b/>
        <sz val="11"/>
        <rFont val="Symbol"/>
        <family val="1"/>
      </rPr>
      <t>D</t>
    </r>
    <r>
      <rPr>
        <b/>
        <sz val="11"/>
        <rFont val="Times New Roman Cyr"/>
        <family val="1"/>
      </rPr>
      <t>2</t>
    </r>
    <r>
      <rPr>
        <sz val="11"/>
        <rFont val="Times New Roman Cyr"/>
        <family val="1"/>
      </rPr>
      <t xml:space="preserve"> "</t>
    </r>
  </si>
  <si>
    <t>nm</t>
  </si>
  <si>
    <r>
      <t>h</t>
    </r>
    <r>
      <rPr>
        <b/>
        <sz val="12"/>
        <rFont val="Symbol"/>
        <family val="1"/>
      </rPr>
      <t>r,</t>
    </r>
    <r>
      <rPr>
        <b/>
        <sz val="12"/>
        <rFont val="Times New Roman Cyr"/>
        <family val="1"/>
      </rPr>
      <t>p</t>
    </r>
    <r>
      <rPr>
        <b/>
        <sz val="12"/>
        <rFont val="Symbol"/>
        <family val="1"/>
      </rPr>
      <t>1</t>
    </r>
  </si>
  <si>
    <r>
      <t>h</t>
    </r>
    <r>
      <rPr>
        <b/>
        <sz val="12"/>
        <rFont val="Symbol"/>
        <family val="1"/>
      </rPr>
      <t>r,</t>
    </r>
    <r>
      <rPr>
        <b/>
        <sz val="12"/>
        <rFont val="Times New Roman Cyr"/>
        <family val="1"/>
      </rPr>
      <t>p2</t>
    </r>
  </si>
  <si>
    <r>
      <t>j1</t>
    </r>
    <r>
      <rPr>
        <b/>
        <sz val="12"/>
        <rFont val="Times New Roman Cyr"/>
        <family val="1"/>
      </rPr>
      <t>'</t>
    </r>
  </si>
  <si>
    <r>
      <t>d1</t>
    </r>
    <r>
      <rPr>
        <b/>
        <sz val="12"/>
        <rFont val="Times New Roman Cyr"/>
        <family val="1"/>
      </rPr>
      <t>'</t>
    </r>
  </si>
  <si>
    <t>hт1'</t>
  </si>
  <si>
    <t>Aт1'</t>
  </si>
  <si>
    <t>q1'</t>
  </si>
  <si>
    <r>
      <t>j2</t>
    </r>
    <r>
      <rPr>
        <b/>
        <sz val="12"/>
        <rFont val="Times New Roman Cyr"/>
        <family val="1"/>
      </rPr>
      <t>'</t>
    </r>
  </si>
  <si>
    <r>
      <t>d2</t>
    </r>
    <r>
      <rPr>
        <b/>
        <sz val="12"/>
        <rFont val="Times New Roman Cyr"/>
        <family val="1"/>
      </rPr>
      <t>'</t>
    </r>
  </si>
  <si>
    <t>hт2'</t>
  </si>
  <si>
    <t>Aт2'</t>
  </si>
  <si>
    <t>q2'</t>
  </si>
  <si>
    <t>A1</t>
  </si>
  <si>
    <t>A2</t>
  </si>
  <si>
    <t>n1</t>
  </si>
  <si>
    <t>n2</t>
  </si>
  <si>
    <r>
      <t>h</t>
    </r>
    <r>
      <rPr>
        <b/>
        <sz val="12"/>
        <rFont val="Symbol"/>
        <family val="1"/>
      </rPr>
      <t>r</t>
    </r>
    <r>
      <rPr>
        <b/>
        <sz val="12"/>
        <rFont val="Times New Roman Cyr"/>
        <family val="1"/>
      </rPr>
      <t>,p</t>
    </r>
  </si>
  <si>
    <r>
      <t>h</t>
    </r>
    <r>
      <rPr>
        <b/>
        <sz val="12"/>
        <rFont val="Symbol"/>
        <family val="1"/>
      </rPr>
      <t>r,</t>
    </r>
    <r>
      <rPr>
        <b/>
        <sz val="12"/>
        <rFont val="Times New Roman Cyr"/>
        <family val="1"/>
      </rPr>
      <t>p</t>
    </r>
  </si>
  <si>
    <t>hr1</t>
  </si>
  <si>
    <t>hr2</t>
  </si>
  <si>
    <t xml:space="preserve">First Sun Sight for Ship Position Observation   </t>
  </si>
  <si>
    <t xml:space="preserve">Second Sun Sight for Ship Position Observation   </t>
  </si>
  <si>
    <t>Fixed Position</t>
  </si>
  <si>
    <t>08.20.00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</si>
</sst>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0.0E+00;\ᝤ"/>
    <numFmt numFmtId="188" formatCode="0.0E+00;\᝘"/>
    <numFmt numFmtId="189" formatCode="0E+00;\᝘"/>
    <numFmt numFmtId="190" formatCode="0.00E+00;\᝘"/>
    <numFmt numFmtId="191" formatCode="0.000E+00;\᝘"/>
    <numFmt numFmtId="192" formatCode="0.0000E+00;\᝘"/>
    <numFmt numFmtId="193" formatCode="d/m"/>
    <numFmt numFmtId="194" formatCode="d\ mmm"/>
    <numFmt numFmtId="195" formatCode="dd\ mmm\ yy"/>
    <numFmt numFmtId="196" formatCode="d\ mmmm\,\ yyyy"/>
    <numFmt numFmtId="197" formatCode="dd\ mmm\ yyyy"/>
    <numFmt numFmtId="198" formatCode="0.000"/>
  </numFmts>
  <fonts count="33">
    <font>
      <sz val="10"/>
      <name val="Arial Cyr"/>
      <family val="0"/>
    </font>
    <font>
      <b/>
      <sz val="12"/>
      <name val="Symbol"/>
      <family val="1"/>
    </font>
    <font>
      <b/>
      <i/>
      <sz val="12"/>
      <name val="Times New Roman Cyr"/>
      <family val="1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Arial Cyr"/>
      <family val="2"/>
    </font>
    <font>
      <i/>
      <sz val="10"/>
      <name val="Times New Roman Cyr"/>
      <family val="1"/>
    </font>
    <font>
      <sz val="10"/>
      <name val="Times New Roman"/>
      <family val="1"/>
    </font>
    <font>
      <sz val="10"/>
      <color indexed="9"/>
      <name val="Arial Cyr"/>
      <family val="2"/>
    </font>
    <font>
      <b/>
      <sz val="14"/>
      <color indexed="12"/>
      <name val="Arial Cyr"/>
      <family val="2"/>
    </font>
    <font>
      <b/>
      <i/>
      <sz val="12"/>
      <color indexed="10"/>
      <name val="Times New Roman Cyr"/>
      <family val="1"/>
    </font>
    <font>
      <b/>
      <i/>
      <sz val="10"/>
      <color indexed="57"/>
      <name val="Times New Roman Cyr"/>
      <family val="1"/>
    </font>
    <font>
      <i/>
      <sz val="9"/>
      <name val="Arial Cyr"/>
      <family val="2"/>
    </font>
    <font>
      <b/>
      <i/>
      <sz val="9"/>
      <color indexed="12"/>
      <name val="Times New Roman Cyr"/>
      <family val="1"/>
    </font>
    <font>
      <sz val="11"/>
      <name val="Times New Roman Cyr"/>
      <family val="1"/>
    </font>
    <font>
      <b/>
      <sz val="14"/>
      <name val="Times New Roman Cyr"/>
      <family val="1"/>
    </font>
    <font>
      <b/>
      <i/>
      <sz val="12"/>
      <color indexed="46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2"/>
      <name val="Times New Roman Cyr"/>
      <family val="1"/>
    </font>
    <font>
      <b/>
      <i/>
      <sz val="10"/>
      <name val="Arial Cyr"/>
      <family val="2"/>
    </font>
    <font>
      <b/>
      <sz val="11"/>
      <name val="Times New Roman Cyr"/>
      <family val="1"/>
    </font>
    <font>
      <i/>
      <sz val="11"/>
      <name val="Times New Roman Cyr"/>
      <family val="1"/>
    </font>
    <font>
      <b/>
      <sz val="11"/>
      <name val="Symbol"/>
      <family val="1"/>
    </font>
    <font>
      <b/>
      <sz val="12"/>
      <name val="Times New Roman Cyr"/>
      <family val="1"/>
    </font>
    <font>
      <b/>
      <i/>
      <sz val="12"/>
      <color indexed="12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0"/>
      <color indexed="9"/>
      <name val="Times New Roman Cyr"/>
      <family val="1"/>
    </font>
    <font>
      <b/>
      <i/>
      <sz val="12"/>
      <color indexed="9"/>
      <name val="Times New Roman Cyr"/>
      <family val="1"/>
    </font>
    <font>
      <b/>
      <sz val="10"/>
      <color indexed="10"/>
      <name val="Times New Roman Cyr"/>
      <family val="1"/>
    </font>
    <font>
      <b/>
      <sz val="12"/>
      <color indexed="10"/>
      <name val="Symbol"/>
      <family val="1"/>
    </font>
    <font>
      <b/>
      <sz val="14"/>
      <color indexed="12"/>
      <name val="Times New Roman Cyr"/>
      <family val="1"/>
    </font>
    <font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5" fillId="0" borderId="1" xfId="0" applyFont="1" applyBorder="1" applyAlignment="1" applyProtection="1">
      <alignment/>
      <protection hidden="1"/>
    </xf>
    <xf numFmtId="186" fontId="5" fillId="0" borderId="1" xfId="0" applyNumberFormat="1" applyFont="1" applyBorder="1" applyAlignment="1" applyProtection="1">
      <alignment/>
      <protection hidden="1"/>
    </xf>
    <xf numFmtId="0" fontId="5" fillId="0" borderId="1" xfId="0" applyFont="1" applyBorder="1" applyAlignment="1" applyProtection="1" quotePrefix="1">
      <alignment/>
      <protection hidden="1"/>
    </xf>
    <xf numFmtId="0" fontId="5" fillId="0" borderId="0" xfId="0" applyFont="1" applyAlignment="1" applyProtection="1">
      <alignment/>
      <protection hidden="1"/>
    </xf>
    <xf numFmtId="186" fontId="5" fillId="0" borderId="0" xfId="0" applyNumberFormat="1" applyFont="1" applyAlignment="1" applyProtection="1">
      <alignment/>
      <protection hidden="1"/>
    </xf>
    <xf numFmtId="0" fontId="5" fillId="0" borderId="0" xfId="0" applyFont="1" applyAlignment="1" applyProtection="1" quotePrefix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locked="0"/>
    </xf>
    <xf numFmtId="186" fontId="5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right"/>
      <protection hidden="1"/>
    </xf>
    <xf numFmtId="0" fontId="1" fillId="0" borderId="2" xfId="0" applyFont="1" applyBorder="1" applyAlignment="1" applyProtection="1">
      <alignment horizontal="center"/>
      <protection hidden="1"/>
    </xf>
    <xf numFmtId="186" fontId="6" fillId="0" borderId="0" xfId="0" applyNumberFormat="1" applyFont="1" applyAlignment="1" applyProtection="1">
      <alignment horizontal="right"/>
      <protection hidden="1"/>
    </xf>
    <xf numFmtId="0" fontId="1" fillId="0" borderId="3" xfId="0" applyFont="1" applyBorder="1" applyAlignment="1" applyProtection="1">
      <alignment horizontal="right"/>
      <protection hidden="1"/>
    </xf>
    <xf numFmtId="0" fontId="0" fillId="0" borderId="1" xfId="0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1" fontId="5" fillId="0" borderId="0" xfId="0" applyNumberFormat="1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189" fontId="3" fillId="0" borderId="0" xfId="0" applyNumberFormat="1" applyFont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186" fontId="3" fillId="0" borderId="0" xfId="0" applyNumberFormat="1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194" fontId="0" fillId="0" borderId="0" xfId="0" applyNumberFormat="1" applyAlignment="1" applyProtection="1">
      <alignment/>
      <protection hidden="1"/>
    </xf>
    <xf numFmtId="186" fontId="0" fillId="0" borderId="0" xfId="0" applyNumberForma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" fillId="0" borderId="4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4" xfId="0" applyFont="1" applyBorder="1" applyAlignment="1" applyProtection="1">
      <alignment horizontal="right"/>
      <protection hidden="1"/>
    </xf>
    <xf numFmtId="0" fontId="14" fillId="0" borderId="0" xfId="0" applyFont="1" applyAlignment="1" applyProtection="1">
      <alignment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196" fontId="0" fillId="0" borderId="0" xfId="0" applyNumberFormat="1" applyAlignment="1" applyProtection="1">
      <alignment horizontal="center"/>
      <protection hidden="1"/>
    </xf>
    <xf numFmtId="21" fontId="0" fillId="0" borderId="0" xfId="0" applyNumberFormat="1" applyAlignment="1" applyProtection="1">
      <alignment horizontal="center"/>
      <protection hidden="1"/>
    </xf>
    <xf numFmtId="0" fontId="13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21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186" fontId="5" fillId="0" borderId="0" xfId="0" applyNumberFormat="1" applyFont="1" applyAlignment="1" applyProtection="1">
      <alignment horizontal="right"/>
      <protection hidden="1"/>
    </xf>
    <xf numFmtId="49" fontId="5" fillId="0" borderId="0" xfId="0" applyNumberFormat="1" applyFont="1" applyAlignment="1" applyProtection="1" quotePrefix="1">
      <alignment horizontal="left"/>
      <protection hidden="1"/>
    </xf>
    <xf numFmtId="49" fontId="5" fillId="0" borderId="0" xfId="0" applyNumberFormat="1" applyFont="1" applyAlignment="1" applyProtection="1" quotePrefix="1">
      <alignment/>
      <protection hidden="1"/>
    </xf>
    <xf numFmtId="186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23" fillId="0" borderId="1" xfId="0" applyFont="1" applyBorder="1" applyAlignment="1" applyProtection="1">
      <alignment/>
      <protection hidden="1"/>
    </xf>
    <xf numFmtId="0" fontId="1" fillId="0" borderId="5" xfId="0" applyFont="1" applyBorder="1" applyAlignment="1" applyProtection="1">
      <alignment/>
      <protection hidden="1"/>
    </xf>
    <xf numFmtId="0" fontId="5" fillId="0" borderId="5" xfId="0" applyFont="1" applyBorder="1" applyAlignment="1" applyProtection="1">
      <alignment/>
      <protection hidden="1"/>
    </xf>
    <xf numFmtId="186" fontId="5" fillId="0" borderId="5" xfId="0" applyNumberFormat="1" applyFont="1" applyBorder="1" applyAlignment="1" applyProtection="1">
      <alignment/>
      <protection hidden="1"/>
    </xf>
    <xf numFmtId="0" fontId="5" fillId="0" borderId="5" xfId="0" applyFont="1" applyBorder="1" applyAlignment="1" applyProtection="1" quotePrefix="1">
      <alignment/>
      <protection hidden="1"/>
    </xf>
    <xf numFmtId="0" fontId="0" fillId="0" borderId="6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/>
      <protection hidden="1"/>
    </xf>
    <xf numFmtId="0" fontId="19" fillId="0" borderId="6" xfId="0" applyFont="1" applyBorder="1" applyAlignment="1" applyProtection="1">
      <alignment/>
      <protection hidden="1"/>
    </xf>
    <xf numFmtId="0" fontId="19" fillId="0" borderId="8" xfId="0" applyFont="1" applyBorder="1" applyAlignment="1" applyProtection="1">
      <alignment/>
      <protection hidden="1"/>
    </xf>
    <xf numFmtId="0" fontId="23" fillId="0" borderId="2" xfId="0" applyFont="1" applyBorder="1" applyAlignment="1" applyProtection="1">
      <alignment/>
      <protection hidden="1"/>
    </xf>
    <xf numFmtId="0" fontId="23" fillId="0" borderId="3" xfId="0" applyFont="1" applyBorder="1" applyAlignment="1" applyProtection="1">
      <alignment/>
      <protection hidden="1"/>
    </xf>
    <xf numFmtId="1" fontId="5" fillId="0" borderId="1" xfId="0" applyNumberFormat="1" applyFont="1" applyBorder="1" applyAlignment="1" applyProtection="1">
      <alignment/>
      <protection hidden="1"/>
    </xf>
    <xf numFmtId="0" fontId="0" fillId="0" borderId="5" xfId="0" applyFont="1" applyBorder="1" applyAlignment="1" applyProtection="1">
      <alignment/>
      <protection hidden="1"/>
    </xf>
    <xf numFmtId="0" fontId="23" fillId="0" borderId="9" xfId="0" applyFont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19" fillId="0" borderId="2" xfId="0" applyFont="1" applyBorder="1" applyAlignment="1" applyProtection="1">
      <alignment horizontal="center"/>
      <protection hidden="1"/>
    </xf>
    <xf numFmtId="1" fontId="5" fillId="0" borderId="5" xfId="0" applyNumberFormat="1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1" fontId="0" fillId="0" borderId="0" xfId="0" applyNumberFormat="1" applyFont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/>
      <protection hidden="1"/>
    </xf>
    <xf numFmtId="0" fontId="28" fillId="0" borderId="0" xfId="0" applyFont="1" applyAlignment="1" applyProtection="1" quotePrefix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0" borderId="0" xfId="0" applyFont="1" applyAlignment="1" applyProtection="1" quotePrefix="1">
      <alignment/>
      <protection hidden="1"/>
    </xf>
    <xf numFmtId="0" fontId="32" fillId="0" borderId="0" xfId="0" applyFont="1" applyAlignment="1" applyProtection="1">
      <alignment/>
      <protection hidden="1"/>
    </xf>
    <xf numFmtId="196" fontId="0" fillId="0" borderId="0" xfId="0" applyNumberFormat="1" applyAlignment="1" applyProtection="1">
      <alignment horizontal="center"/>
      <protection locked="0"/>
    </xf>
    <xf numFmtId="21" fontId="0" fillId="0" borderId="0" xfId="0" applyNumberFormat="1" applyAlignment="1" applyProtection="1">
      <alignment horizontal="center"/>
      <protection locked="0"/>
    </xf>
    <xf numFmtId="20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hidden="1"/>
    </xf>
    <xf numFmtId="186" fontId="5" fillId="0" borderId="1" xfId="0" applyNumberFormat="1" applyFont="1" applyBorder="1" applyAlignment="1" applyProtection="1">
      <alignment horizontal="right"/>
      <protection hidden="1"/>
    </xf>
    <xf numFmtId="0" fontId="5" fillId="0" borderId="1" xfId="0" applyFont="1" applyBorder="1" applyAlignment="1" applyProtection="1">
      <alignment horizontal="right"/>
      <protection hidden="1"/>
    </xf>
    <xf numFmtId="186" fontId="5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14" fontId="5" fillId="0" borderId="0" xfId="0" applyNumberFormat="1" applyFont="1" applyAlignment="1" applyProtection="1">
      <alignment horizontal="center"/>
      <protection hidden="1"/>
    </xf>
    <xf numFmtId="21" fontId="5" fillId="0" borderId="0" xfId="0" applyNumberFormat="1" applyFont="1" applyAlignment="1" applyProtection="1">
      <alignment horizontal="center"/>
      <protection hidden="1"/>
    </xf>
    <xf numFmtId="192" fontId="0" fillId="0" borderId="0" xfId="0" applyNumberFormat="1" applyAlignment="1">
      <alignment horizontal="center"/>
    </xf>
    <xf numFmtId="186" fontId="5" fillId="0" borderId="5" xfId="0" applyNumberFormat="1" applyFont="1" applyBorder="1" applyAlignment="1" applyProtection="1">
      <alignment horizontal="right"/>
      <protection hidden="1"/>
    </xf>
    <xf numFmtId="0" fontId="17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186" fontId="18" fillId="0" borderId="0" xfId="0" applyNumberFormat="1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3">
      <selection activeCell="C32" sqref="C32"/>
    </sheetView>
  </sheetViews>
  <sheetFormatPr defaultColWidth="9.00390625" defaultRowHeight="12.75"/>
  <cols>
    <col min="1" max="1" width="12.125" style="0" customWidth="1"/>
    <col min="2" max="2" width="4.00390625" style="0" customWidth="1"/>
    <col min="3" max="3" width="5.25390625" style="0" customWidth="1"/>
    <col min="4" max="4" width="4.00390625" style="0" customWidth="1"/>
    <col min="7" max="7" width="5.75390625" style="0" customWidth="1"/>
    <col min="8" max="8" width="4.875" style="0" customWidth="1"/>
    <col min="9" max="9" width="5.75390625" style="0" customWidth="1"/>
  </cols>
  <sheetData>
    <row r="1" spans="1:13" ht="18">
      <c r="A1" s="28" t="s">
        <v>33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75">
      <c r="A2" s="29" t="s">
        <v>41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0.5" customHeight="1">
      <c r="A3" s="2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3.5">
      <c r="A4" s="30" t="s">
        <v>43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3.5">
      <c r="A5" s="30" t="s">
        <v>42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5.75">
      <c r="A6" s="31" t="s">
        <v>1</v>
      </c>
      <c r="B6" s="10">
        <v>43</v>
      </c>
      <c r="C6" s="11">
        <v>32</v>
      </c>
      <c r="D6" s="10" t="s">
        <v>6</v>
      </c>
      <c r="E6" s="8"/>
      <c r="F6" s="8"/>
      <c r="G6" s="33" t="s">
        <v>34</v>
      </c>
      <c r="H6" s="94">
        <v>38567</v>
      </c>
      <c r="I6" s="94"/>
      <c r="J6" s="94"/>
      <c r="K6" s="37"/>
      <c r="L6" s="8"/>
      <c r="M6" s="8"/>
    </row>
    <row r="7" spans="1:13" ht="15.75">
      <c r="A7" s="31" t="s">
        <v>2</v>
      </c>
      <c r="B7" s="10">
        <v>32</v>
      </c>
      <c r="C7" s="11">
        <v>16.2</v>
      </c>
      <c r="D7" s="10" t="s">
        <v>7</v>
      </c>
      <c r="E7" s="8"/>
      <c r="F7" s="8"/>
      <c r="G7" s="33" t="s">
        <v>35</v>
      </c>
      <c r="H7" s="95" t="s">
        <v>88</v>
      </c>
      <c r="I7" s="95"/>
      <c r="J7" s="95"/>
      <c r="K7" s="38"/>
      <c r="L7" s="8"/>
      <c r="M7" s="8"/>
    </row>
    <row r="8" spans="1:13" ht="15.75">
      <c r="A8" s="32"/>
      <c r="B8" s="8"/>
      <c r="C8" s="8"/>
      <c r="D8" s="8"/>
      <c r="E8" s="8"/>
      <c r="F8" s="8"/>
      <c r="G8" s="34" t="s">
        <v>40</v>
      </c>
      <c r="H8" s="8"/>
      <c r="I8" s="8"/>
      <c r="J8" s="8"/>
      <c r="K8" s="8"/>
      <c r="L8" s="8"/>
      <c r="M8" s="8"/>
    </row>
    <row r="9" spans="1:13" ht="15.75">
      <c r="A9" s="33" t="s">
        <v>36</v>
      </c>
      <c r="B9" s="10">
        <v>12</v>
      </c>
      <c r="C9" s="11">
        <v>56.8</v>
      </c>
      <c r="D9" s="8"/>
      <c r="E9" s="8"/>
      <c r="F9" s="8"/>
      <c r="G9" s="34" t="s">
        <v>60</v>
      </c>
      <c r="H9" s="8"/>
      <c r="I9" s="8"/>
      <c r="J9" s="8"/>
      <c r="K9" s="8"/>
      <c r="L9" s="8"/>
      <c r="M9" s="8"/>
    </row>
    <row r="10" spans="1:13" ht="15.75">
      <c r="A10" s="33" t="s">
        <v>21</v>
      </c>
      <c r="B10" s="4"/>
      <c r="C10" s="11">
        <v>0</v>
      </c>
      <c r="D10" s="8"/>
      <c r="E10" s="8"/>
      <c r="F10" s="8"/>
      <c r="G10" s="34" t="s">
        <v>61</v>
      </c>
      <c r="H10" s="8"/>
      <c r="I10" s="8"/>
      <c r="J10" s="8"/>
      <c r="K10" s="8"/>
      <c r="L10" s="8"/>
      <c r="M10" s="8"/>
    </row>
    <row r="11" spans="1:13" ht="15.75">
      <c r="A11" s="33" t="s">
        <v>16</v>
      </c>
      <c r="B11" s="4"/>
      <c r="C11" s="11">
        <v>-0.1</v>
      </c>
      <c r="D11" s="8"/>
      <c r="E11" s="8"/>
      <c r="F11" s="8"/>
      <c r="G11" s="34" t="s">
        <v>62</v>
      </c>
      <c r="H11" s="8"/>
      <c r="I11" s="8"/>
      <c r="J11" s="8"/>
      <c r="K11" s="8"/>
      <c r="L11" s="8"/>
      <c r="M11" s="8"/>
    </row>
    <row r="12" spans="1:13" ht="15.75">
      <c r="A12" s="33" t="s">
        <v>19</v>
      </c>
      <c r="B12" s="4"/>
      <c r="C12" s="11">
        <v>24</v>
      </c>
      <c r="D12" s="50" t="s">
        <v>20</v>
      </c>
      <c r="E12" s="8"/>
      <c r="F12" s="8"/>
      <c r="G12" s="34" t="s">
        <v>46</v>
      </c>
      <c r="H12" s="8"/>
      <c r="I12" s="8"/>
      <c r="J12" s="8"/>
      <c r="K12" s="8"/>
      <c r="L12" s="8"/>
      <c r="M12" s="8"/>
    </row>
    <row r="13" spans="1:13" ht="15.75">
      <c r="A13" s="33" t="s">
        <v>37</v>
      </c>
      <c r="B13" s="4"/>
      <c r="C13" s="11">
        <v>25</v>
      </c>
      <c r="D13" s="49" t="s">
        <v>58</v>
      </c>
      <c r="E13" s="8"/>
      <c r="F13" s="8"/>
      <c r="G13" s="35" t="s">
        <v>9</v>
      </c>
      <c r="H13" s="10">
        <v>298</v>
      </c>
      <c r="I13" s="11">
        <v>27.6</v>
      </c>
      <c r="J13" s="4"/>
      <c r="K13" s="8"/>
      <c r="L13" s="8"/>
      <c r="M13" s="8"/>
    </row>
    <row r="14" spans="1:13" ht="15.75">
      <c r="A14" s="33" t="s">
        <v>38</v>
      </c>
      <c r="B14" s="4"/>
      <c r="C14" s="10">
        <v>768</v>
      </c>
      <c r="D14" s="8" t="s">
        <v>59</v>
      </c>
      <c r="E14" s="8"/>
      <c r="F14" s="8"/>
      <c r="G14" s="36" t="s">
        <v>10</v>
      </c>
      <c r="H14" s="10">
        <v>5</v>
      </c>
      <c r="I14" s="11">
        <v>0</v>
      </c>
      <c r="J14" s="4"/>
      <c r="K14" s="8"/>
      <c r="L14" s="8"/>
      <c r="M14" s="8"/>
    </row>
    <row r="15" spans="1:13" ht="15.75">
      <c r="A15" s="33" t="s">
        <v>39</v>
      </c>
      <c r="B15" s="97" t="s">
        <v>22</v>
      </c>
      <c r="C15" s="97"/>
      <c r="D15" s="8"/>
      <c r="E15" s="8"/>
      <c r="F15" s="8"/>
      <c r="G15" s="36" t="s">
        <v>11</v>
      </c>
      <c r="H15" s="4"/>
      <c r="I15" s="11">
        <v>15.8</v>
      </c>
      <c r="J15" s="4"/>
      <c r="K15" s="8"/>
      <c r="L15" s="8"/>
      <c r="M15" s="8"/>
    </row>
    <row r="16" spans="1:13" ht="12.75">
      <c r="A16" s="39" t="s">
        <v>45</v>
      </c>
      <c r="B16" s="8"/>
      <c r="C16" s="8"/>
      <c r="D16" s="8"/>
      <c r="E16" s="8"/>
      <c r="F16" s="8"/>
      <c r="G16" s="8"/>
      <c r="H16" s="4"/>
      <c r="I16" s="4"/>
      <c r="J16" s="4"/>
      <c r="K16" s="8"/>
      <c r="L16" s="8"/>
      <c r="M16" s="8"/>
    </row>
    <row r="17" spans="1:13" ht="15.75">
      <c r="A17" s="40"/>
      <c r="B17" s="8"/>
      <c r="C17" s="8"/>
      <c r="D17" s="8"/>
      <c r="E17" s="8"/>
      <c r="F17" s="8"/>
      <c r="G17" s="36" t="s">
        <v>14</v>
      </c>
      <c r="H17" s="10">
        <v>17</v>
      </c>
      <c r="I17" s="11">
        <v>26.9</v>
      </c>
      <c r="J17" s="10" t="s">
        <v>6</v>
      </c>
      <c r="K17" s="8"/>
      <c r="L17" s="8"/>
      <c r="M17" s="8"/>
    </row>
    <row r="18" spans="1:13" ht="15.75">
      <c r="A18" s="8"/>
      <c r="B18" s="8"/>
      <c r="C18" s="8"/>
      <c r="D18" s="8"/>
      <c r="E18" s="8"/>
      <c r="F18" s="8"/>
      <c r="G18" s="36" t="s">
        <v>15</v>
      </c>
      <c r="H18" s="4"/>
      <c r="I18" s="11">
        <v>0.7</v>
      </c>
      <c r="J18" s="4"/>
      <c r="K18" s="8"/>
      <c r="L18" s="8"/>
      <c r="M18" s="8"/>
    </row>
    <row r="19" spans="1:13" ht="15.75">
      <c r="A19" s="8"/>
      <c r="B19" s="8"/>
      <c r="C19" s="8"/>
      <c r="D19" s="8"/>
      <c r="E19" s="8"/>
      <c r="F19" s="8"/>
      <c r="G19" s="45"/>
      <c r="H19" s="4"/>
      <c r="I19" s="4"/>
      <c r="J19" s="4"/>
      <c r="K19" s="8"/>
      <c r="L19" s="8"/>
      <c r="M19" s="8"/>
    </row>
    <row r="20" spans="1:13" ht="15">
      <c r="A20" s="8"/>
      <c r="B20" s="8"/>
      <c r="C20" s="8"/>
      <c r="D20" s="8"/>
      <c r="E20" s="8"/>
      <c r="F20" s="8"/>
      <c r="G20" s="46" t="s">
        <v>56</v>
      </c>
      <c r="H20" s="4"/>
      <c r="I20" s="4"/>
      <c r="J20" s="4"/>
      <c r="K20" s="8"/>
      <c r="L20" s="8"/>
      <c r="M20" s="8"/>
    </row>
    <row r="21" spans="1:13" ht="15">
      <c r="A21" s="34"/>
      <c r="B21" s="34"/>
      <c r="C21" s="34"/>
      <c r="D21" s="34"/>
      <c r="E21" s="34"/>
      <c r="F21" s="34"/>
      <c r="G21" s="46" t="s">
        <v>57</v>
      </c>
      <c r="H21" s="47"/>
      <c r="I21" s="47"/>
      <c r="J21" s="47"/>
      <c r="K21" s="34"/>
      <c r="L21" s="34"/>
      <c r="M21" s="8"/>
    </row>
    <row r="22" spans="1:13" ht="15.75">
      <c r="A22" s="34"/>
      <c r="B22" s="34"/>
      <c r="C22" s="34"/>
      <c r="D22" s="34"/>
      <c r="E22" s="34"/>
      <c r="F22" s="34"/>
      <c r="G22" s="35" t="s">
        <v>55</v>
      </c>
      <c r="H22" s="11">
        <v>0.1</v>
      </c>
      <c r="I22" s="7"/>
      <c r="J22" s="47"/>
      <c r="K22" s="34"/>
      <c r="L22" s="34"/>
      <c r="M22" s="8"/>
    </row>
    <row r="23" spans="1:13" ht="1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8"/>
    </row>
    <row r="24" spans="1:13" ht="15.75">
      <c r="A24" s="29" t="s">
        <v>44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5.75">
      <c r="A25" s="2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3.5">
      <c r="A26" s="30" t="s">
        <v>43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3.5">
      <c r="A27" s="30" t="s">
        <v>42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5.75">
      <c r="A28" s="31" t="s">
        <v>1</v>
      </c>
      <c r="B28" s="10">
        <v>44</v>
      </c>
      <c r="C28" s="11">
        <v>16.8</v>
      </c>
      <c r="D28" s="10" t="s">
        <v>6</v>
      </c>
      <c r="E28" s="8"/>
      <c r="F28" s="8"/>
      <c r="G28" s="33" t="s">
        <v>34</v>
      </c>
      <c r="H28" s="94">
        <v>38567</v>
      </c>
      <c r="I28" s="94"/>
      <c r="J28" s="94"/>
      <c r="K28" s="37"/>
      <c r="L28" s="8"/>
      <c r="M28" s="8"/>
    </row>
    <row r="29" spans="1:13" ht="15.75">
      <c r="A29" s="31" t="s">
        <v>2</v>
      </c>
      <c r="B29" s="10">
        <v>30</v>
      </c>
      <c r="C29" s="11">
        <v>39.2</v>
      </c>
      <c r="D29" s="10" t="s">
        <v>7</v>
      </c>
      <c r="E29" s="8"/>
      <c r="F29" s="8"/>
      <c r="G29" s="33" t="s">
        <v>35</v>
      </c>
      <c r="H29" s="96">
        <v>0.5590277777777778</v>
      </c>
      <c r="I29" s="95"/>
      <c r="J29" s="95"/>
      <c r="K29" s="38"/>
      <c r="L29" s="8"/>
      <c r="M29" s="8"/>
    </row>
    <row r="30" spans="1:13" ht="15.75">
      <c r="A30" s="32"/>
      <c r="B30" s="8"/>
      <c r="C30" s="8"/>
      <c r="D30" s="8"/>
      <c r="E30" s="8"/>
      <c r="F30" s="8"/>
      <c r="G30" s="34" t="s">
        <v>40</v>
      </c>
      <c r="H30" s="8"/>
      <c r="I30" s="8"/>
      <c r="J30" s="8"/>
      <c r="K30" s="8"/>
      <c r="L30" s="8"/>
      <c r="M30" s="8"/>
    </row>
    <row r="31" spans="1:13" ht="15.75">
      <c r="A31" s="33" t="s">
        <v>36</v>
      </c>
      <c r="B31" s="10">
        <v>61</v>
      </c>
      <c r="C31" s="11">
        <v>34.3</v>
      </c>
      <c r="D31" s="8"/>
      <c r="E31" s="8"/>
      <c r="F31" s="8"/>
      <c r="G31" s="34" t="s">
        <v>60</v>
      </c>
      <c r="H31" s="8"/>
      <c r="I31" s="8"/>
      <c r="J31" s="8"/>
      <c r="K31" s="8"/>
      <c r="L31" s="8"/>
      <c r="M31" s="8"/>
    </row>
    <row r="32" spans="1:13" ht="15.75">
      <c r="A32" s="33" t="s">
        <v>21</v>
      </c>
      <c r="B32" s="4"/>
      <c r="C32" s="11">
        <v>0</v>
      </c>
      <c r="D32" s="8"/>
      <c r="E32" s="8"/>
      <c r="F32" s="8"/>
      <c r="G32" s="34" t="s">
        <v>63</v>
      </c>
      <c r="H32" s="8"/>
      <c r="I32" s="8"/>
      <c r="J32" s="8"/>
      <c r="K32" s="8"/>
      <c r="L32" s="8"/>
      <c r="M32" s="8"/>
    </row>
    <row r="33" spans="1:13" ht="15.75">
      <c r="A33" s="33" t="s">
        <v>16</v>
      </c>
      <c r="B33" s="4"/>
      <c r="C33" s="11">
        <v>-0.1</v>
      </c>
      <c r="D33" s="8"/>
      <c r="E33" s="8"/>
      <c r="F33" s="8"/>
      <c r="G33" s="34" t="s">
        <v>62</v>
      </c>
      <c r="H33" s="8"/>
      <c r="I33" s="8"/>
      <c r="J33" s="8"/>
      <c r="K33" s="8"/>
      <c r="L33" s="8"/>
      <c r="M33" s="8"/>
    </row>
    <row r="34" spans="1:13" ht="15.75">
      <c r="A34" s="33" t="s">
        <v>19</v>
      </c>
      <c r="B34" s="4"/>
      <c r="C34" s="11">
        <v>24</v>
      </c>
      <c r="D34" s="50" t="s">
        <v>20</v>
      </c>
      <c r="E34" s="8"/>
      <c r="F34" s="8"/>
      <c r="G34" s="34" t="s">
        <v>46</v>
      </c>
      <c r="H34" s="8"/>
      <c r="I34" s="8"/>
      <c r="J34" s="8"/>
      <c r="K34" s="8"/>
      <c r="L34" s="8"/>
      <c r="M34" s="8"/>
    </row>
    <row r="35" spans="1:13" ht="15.75">
      <c r="A35" s="33" t="s">
        <v>37</v>
      </c>
      <c r="B35" s="4"/>
      <c r="C35" s="11">
        <v>25</v>
      </c>
      <c r="D35" s="49" t="s">
        <v>58</v>
      </c>
      <c r="E35" s="8"/>
      <c r="F35" s="8"/>
      <c r="G35" s="35" t="s">
        <v>9</v>
      </c>
      <c r="H35" s="10">
        <v>13</v>
      </c>
      <c r="I35" s="11">
        <v>27.9</v>
      </c>
      <c r="J35" s="4"/>
      <c r="K35" s="8"/>
      <c r="L35" s="8"/>
      <c r="M35" s="8"/>
    </row>
    <row r="36" spans="1:13" ht="15.75">
      <c r="A36" s="33" t="s">
        <v>38</v>
      </c>
      <c r="B36" s="4"/>
      <c r="C36" s="10">
        <v>770</v>
      </c>
      <c r="D36" s="8" t="s">
        <v>59</v>
      </c>
      <c r="E36" s="8"/>
      <c r="F36" s="8"/>
      <c r="G36" s="36" t="s">
        <v>10</v>
      </c>
      <c r="H36" s="10">
        <v>6</v>
      </c>
      <c r="I36" s="11">
        <v>15</v>
      </c>
      <c r="J36" s="4"/>
      <c r="K36" s="8"/>
      <c r="L36" s="8"/>
      <c r="M36" s="8"/>
    </row>
    <row r="37" spans="1:13" ht="15.75">
      <c r="A37" s="33" t="s">
        <v>39</v>
      </c>
      <c r="B37" s="97" t="s">
        <v>22</v>
      </c>
      <c r="C37" s="97"/>
      <c r="D37" s="8"/>
      <c r="E37" s="8"/>
      <c r="F37" s="8"/>
      <c r="G37" s="36" t="s">
        <v>11</v>
      </c>
      <c r="H37" s="4"/>
      <c r="I37" s="11">
        <v>15.8</v>
      </c>
      <c r="J37" s="4"/>
      <c r="K37" s="8"/>
      <c r="L37" s="8"/>
      <c r="M37" s="8"/>
    </row>
    <row r="38" spans="1:13" ht="12.75">
      <c r="A38" s="39" t="s">
        <v>45</v>
      </c>
      <c r="B38" s="8"/>
      <c r="C38" s="8"/>
      <c r="D38" s="8"/>
      <c r="E38" s="8"/>
      <c r="F38" s="8"/>
      <c r="G38" s="8"/>
      <c r="H38" s="4"/>
      <c r="I38" s="4"/>
      <c r="J38" s="4"/>
      <c r="K38" s="8"/>
      <c r="L38" s="8"/>
      <c r="M38" s="8"/>
    </row>
    <row r="39" spans="1:13" ht="15.75">
      <c r="A39" s="8"/>
      <c r="B39" s="8"/>
      <c r="C39" s="8"/>
      <c r="D39" s="8"/>
      <c r="E39" s="8"/>
      <c r="F39" s="8"/>
      <c r="G39" s="36" t="s">
        <v>14</v>
      </c>
      <c r="H39" s="10">
        <v>17</v>
      </c>
      <c r="I39" s="11">
        <v>23.6</v>
      </c>
      <c r="J39" s="10" t="s">
        <v>6</v>
      </c>
      <c r="K39" s="8"/>
      <c r="L39" s="8"/>
      <c r="M39" s="8"/>
    </row>
    <row r="40" spans="1:13" ht="15.75">
      <c r="A40" s="8"/>
      <c r="B40" s="8"/>
      <c r="C40" s="8"/>
      <c r="D40" s="8"/>
      <c r="E40" s="8"/>
      <c r="F40" s="8"/>
      <c r="G40" s="36" t="s">
        <v>15</v>
      </c>
      <c r="H40" s="4"/>
      <c r="I40" s="11">
        <v>0.7</v>
      </c>
      <c r="J40" s="4"/>
      <c r="K40" s="8"/>
      <c r="L40" s="8"/>
      <c r="M40" s="8"/>
    </row>
    <row r="41" spans="1:13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5">
      <c r="A42" s="8"/>
      <c r="B42" s="8"/>
      <c r="C42" s="8"/>
      <c r="D42" s="8"/>
      <c r="E42" s="8"/>
      <c r="F42" s="8"/>
      <c r="G42" s="46" t="s">
        <v>56</v>
      </c>
      <c r="H42" s="4"/>
      <c r="I42" s="4"/>
      <c r="J42" s="4"/>
      <c r="K42" s="8"/>
      <c r="L42" s="34"/>
      <c r="M42" s="8"/>
    </row>
    <row r="43" spans="1:13" ht="15">
      <c r="A43" s="8"/>
      <c r="B43" s="8"/>
      <c r="C43" s="8"/>
      <c r="D43" s="8"/>
      <c r="E43" s="8"/>
      <c r="F43" s="8"/>
      <c r="G43" s="46" t="s">
        <v>57</v>
      </c>
      <c r="H43" s="47"/>
      <c r="I43" s="47"/>
      <c r="J43" s="47"/>
      <c r="K43" s="34"/>
      <c r="L43" s="34"/>
      <c r="M43" s="8"/>
    </row>
    <row r="44" spans="1:12" ht="15.75">
      <c r="A44" s="8"/>
      <c r="B44" s="8"/>
      <c r="C44" s="8"/>
      <c r="D44" s="8"/>
      <c r="E44" s="8"/>
      <c r="F44" s="8"/>
      <c r="G44" s="35" t="s">
        <v>55</v>
      </c>
      <c r="H44" s="11">
        <v>0.1</v>
      </c>
      <c r="I44" s="7"/>
      <c r="J44" s="47"/>
      <c r="K44" s="34"/>
      <c r="L44" s="8"/>
    </row>
    <row r="45" spans="1:12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>
      <c r="A46" s="43" t="s">
        <v>48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</sheetData>
  <sheetProtection password="CC36" sheet="1" objects="1" scenarios="1"/>
  <mergeCells count="6">
    <mergeCell ref="H6:J6"/>
    <mergeCell ref="H7:J7"/>
    <mergeCell ref="H29:J29"/>
    <mergeCell ref="B37:C37"/>
    <mergeCell ref="H28:J28"/>
    <mergeCell ref="B15:C15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01"/>
  <sheetViews>
    <sheetView tabSelected="1" workbookViewId="0" topLeftCell="A64">
      <selection activeCell="B6" sqref="B6:D6"/>
    </sheetView>
  </sheetViews>
  <sheetFormatPr defaultColWidth="9.00390625" defaultRowHeight="12.75"/>
  <cols>
    <col min="1" max="1" width="5.125" style="0" customWidth="1"/>
    <col min="2" max="2" width="4.25390625" style="0" customWidth="1"/>
    <col min="3" max="3" width="1.37890625" style="0" customWidth="1"/>
    <col min="4" max="4" width="5.375" style="0" customWidth="1"/>
    <col min="5" max="5" width="1.25" style="0" customWidth="1"/>
    <col min="6" max="6" width="2.375" style="0" customWidth="1"/>
    <col min="8" max="8" width="5.875" style="0" customWidth="1"/>
    <col min="9" max="9" width="1.875" style="0" customWidth="1"/>
    <col min="10" max="10" width="4.75390625" style="0" customWidth="1"/>
    <col min="11" max="11" width="1.75390625" style="0" customWidth="1"/>
    <col min="12" max="12" width="5.75390625" style="0" customWidth="1"/>
    <col min="13" max="13" width="1.37890625" style="0" customWidth="1"/>
    <col min="14" max="14" width="3.125" style="0" customWidth="1"/>
    <col min="15" max="15" width="6.75390625" style="0" customWidth="1"/>
    <col min="16" max="16" width="1.37890625" style="0" customWidth="1"/>
    <col min="17" max="17" width="4.25390625" style="0" customWidth="1"/>
    <col min="18" max="18" width="1.75390625" style="0" customWidth="1"/>
    <col min="19" max="19" width="4.75390625" style="0" customWidth="1"/>
    <col min="20" max="20" width="1.37890625" style="0" customWidth="1"/>
    <col min="21" max="21" width="2.25390625" style="0" customWidth="1"/>
    <col min="22" max="22" width="12.25390625" style="0" bestFit="1" customWidth="1"/>
  </cols>
  <sheetData>
    <row r="1" spans="1:22" ht="18.75">
      <c r="A1" s="8"/>
      <c r="B1" s="98" t="s">
        <v>85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8"/>
      <c r="T1" s="8"/>
      <c r="U1" s="8"/>
      <c r="V1" s="8"/>
    </row>
    <row r="2" spans="1:2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2"/>
      <c r="T5" s="8"/>
      <c r="U5" s="8"/>
      <c r="V5" s="8"/>
    </row>
    <row r="6" spans="1:22" ht="15.75">
      <c r="A6" s="13" t="s">
        <v>3</v>
      </c>
      <c r="B6" s="105">
        <f>Data!H6</f>
        <v>38567</v>
      </c>
      <c r="C6" s="105"/>
      <c r="D6" s="105"/>
      <c r="E6" s="103" t="s">
        <v>8</v>
      </c>
      <c r="F6" s="103"/>
      <c r="G6" s="8"/>
      <c r="H6" s="57" t="s">
        <v>9</v>
      </c>
      <c r="I6" s="66"/>
      <c r="J6" s="4">
        <f>Data!H13</f>
        <v>298</v>
      </c>
      <c r="K6" s="4" t="s">
        <v>47</v>
      </c>
      <c r="L6" s="5">
        <f>Data!I13</f>
        <v>27.6</v>
      </c>
      <c r="M6" s="6" t="s">
        <v>5</v>
      </c>
      <c r="N6" s="4" t="s">
        <v>7</v>
      </c>
      <c r="O6" s="14" t="s">
        <v>14</v>
      </c>
      <c r="P6" s="8"/>
      <c r="Q6" s="4">
        <f>Data!H17</f>
        <v>17</v>
      </c>
      <c r="R6" s="4" t="s">
        <v>47</v>
      </c>
      <c r="S6" s="5">
        <f>Data!I17</f>
        <v>26.9</v>
      </c>
      <c r="T6" s="6" t="s">
        <v>5</v>
      </c>
      <c r="U6" s="4" t="str">
        <f>Data!J17</f>
        <v>N</v>
      </c>
      <c r="V6" s="8"/>
    </row>
    <row r="7" spans="1:22" ht="15.75">
      <c r="A7" s="13" t="s">
        <v>0</v>
      </c>
      <c r="B7" s="106" t="str">
        <f>Data!H7</f>
        <v>08.20.00</v>
      </c>
      <c r="C7" s="106"/>
      <c r="D7" s="106"/>
      <c r="E7" s="103" t="s">
        <v>8</v>
      </c>
      <c r="F7" s="103"/>
      <c r="G7" s="8"/>
      <c r="H7" s="58" t="s">
        <v>10</v>
      </c>
      <c r="I7" s="64" t="s">
        <v>13</v>
      </c>
      <c r="J7" s="4">
        <f>Data!H14</f>
        <v>5</v>
      </c>
      <c r="K7" s="4" t="s">
        <v>47</v>
      </c>
      <c r="L7" s="5">
        <f>Data!I14</f>
        <v>0</v>
      </c>
      <c r="M7" s="6" t="s">
        <v>5</v>
      </c>
      <c r="N7" s="4"/>
      <c r="O7" s="14" t="s">
        <v>15</v>
      </c>
      <c r="P7" s="8"/>
      <c r="Q7" s="4"/>
      <c r="R7" s="4"/>
      <c r="S7" s="4">
        <f>Data!I18</f>
        <v>0.7</v>
      </c>
      <c r="T7" s="6" t="s">
        <v>5</v>
      </c>
      <c r="U7" s="4"/>
      <c r="V7" s="8"/>
    </row>
    <row r="8" spans="1:22" ht="15.75">
      <c r="A8" s="15" t="s">
        <v>1</v>
      </c>
      <c r="B8" s="48">
        <f>Data!B6</f>
        <v>43</v>
      </c>
      <c r="C8" s="41" t="s">
        <v>47</v>
      </c>
      <c r="D8" s="52">
        <f>Data!C6</f>
        <v>32</v>
      </c>
      <c r="E8" s="53" t="s">
        <v>5</v>
      </c>
      <c r="F8" s="4" t="str">
        <f>Data!D6</f>
        <v>N</v>
      </c>
      <c r="G8" s="8"/>
      <c r="H8" s="60" t="s">
        <v>11</v>
      </c>
      <c r="I8" s="65" t="s">
        <v>13</v>
      </c>
      <c r="J8" s="61"/>
      <c r="K8" s="61"/>
      <c r="L8" s="62">
        <f>Data!I15</f>
        <v>15.8</v>
      </c>
      <c r="M8" s="63" t="s">
        <v>5</v>
      </c>
      <c r="N8" s="61"/>
      <c r="O8" s="17" t="str">
        <f>O6</f>
        <v>d</v>
      </c>
      <c r="P8" s="18"/>
      <c r="Q8" s="1">
        <f>IF(S6+S7&gt;=60,Q6+1,IF(S6+S7&lt;0,Q6-1,Q6))</f>
        <v>17</v>
      </c>
      <c r="R8" s="1" t="s">
        <v>47</v>
      </c>
      <c r="S8" s="2">
        <f>IF(S6+S7&gt;=60,S6+S7-60,IF(S6+S7&lt;0,S6+S7+60,S6+S7))</f>
        <v>27.599999999999998</v>
      </c>
      <c r="T8" s="3" t="s">
        <v>5</v>
      </c>
      <c r="U8" s="1" t="str">
        <f>U6</f>
        <v>N</v>
      </c>
      <c r="V8" s="8"/>
    </row>
    <row r="9" spans="1:22" ht="15.75">
      <c r="A9" s="15" t="s">
        <v>2</v>
      </c>
      <c r="B9" s="48">
        <f>Data!B7</f>
        <v>32</v>
      </c>
      <c r="C9" s="41" t="s">
        <v>47</v>
      </c>
      <c r="D9" s="52">
        <f>Data!C7</f>
        <v>16.2</v>
      </c>
      <c r="E9" s="54" t="s">
        <v>5</v>
      </c>
      <c r="F9" s="4" t="str">
        <f>Data!D7</f>
        <v>W</v>
      </c>
      <c r="G9" s="8"/>
      <c r="H9" s="57" t="s">
        <v>9</v>
      </c>
      <c r="I9" s="66"/>
      <c r="J9" s="4">
        <f>IF(L6+L7+L8&gt;=60,IF(J6+J7&gt;=359,J6+J7-359,J6+J7+1),IF(J6+J7&gt;=360,J6+J7-360,J6+J7))</f>
        <v>303</v>
      </c>
      <c r="K9" s="4" t="s">
        <v>47</v>
      </c>
      <c r="L9" s="5">
        <f>IF(L6+L7+L8&gt;=60,L6+L7+L8-60,L6+L7+L8)</f>
        <v>43.400000000000006</v>
      </c>
      <c r="M9" s="6" t="s">
        <v>5</v>
      </c>
      <c r="N9" s="4" t="s">
        <v>7</v>
      </c>
      <c r="O9" s="8"/>
      <c r="P9" s="8"/>
      <c r="Q9" s="8"/>
      <c r="R9" s="8"/>
      <c r="S9" s="8"/>
      <c r="T9" s="8"/>
      <c r="U9" s="8"/>
      <c r="V9" s="8"/>
    </row>
    <row r="10" spans="1:22" ht="15.75">
      <c r="A10" s="76" t="s">
        <v>4</v>
      </c>
      <c r="B10" s="48">
        <f>Data!B9</f>
        <v>12</v>
      </c>
      <c r="C10" s="41" t="s">
        <v>47</v>
      </c>
      <c r="D10" s="52">
        <f>Data!C9</f>
        <v>56.8</v>
      </c>
      <c r="E10" s="6" t="s">
        <v>5</v>
      </c>
      <c r="F10" s="4"/>
      <c r="G10" s="8"/>
      <c r="H10" s="58" t="s">
        <v>2</v>
      </c>
      <c r="I10" s="66"/>
      <c r="J10" s="4">
        <f>B9</f>
        <v>32</v>
      </c>
      <c r="K10" s="4" t="s">
        <v>47</v>
      </c>
      <c r="L10" s="5">
        <f>D9</f>
        <v>16.2</v>
      </c>
      <c r="M10" s="6" t="s">
        <v>5</v>
      </c>
      <c r="N10" s="4" t="str">
        <f>F9</f>
        <v>W</v>
      </c>
      <c r="O10" s="8"/>
      <c r="P10" s="8"/>
      <c r="Q10" s="8"/>
      <c r="R10" s="8"/>
      <c r="S10" s="8"/>
      <c r="T10" s="8"/>
      <c r="U10" s="8"/>
      <c r="V10" s="8"/>
    </row>
    <row r="11" spans="1:22" ht="15.75">
      <c r="A11" s="13" t="s">
        <v>16</v>
      </c>
      <c r="B11" s="41"/>
      <c r="C11" s="41"/>
      <c r="D11" s="5">
        <f>Data!C11</f>
        <v>-0.1</v>
      </c>
      <c r="E11" s="6" t="s">
        <v>5</v>
      </c>
      <c r="F11" s="41"/>
      <c r="G11" s="8"/>
      <c r="H11" s="59" t="s">
        <v>12</v>
      </c>
      <c r="I11" s="67"/>
      <c r="J11" s="1">
        <f>IF(N10="E",IF(L9+L10&gt;=60,IF(J9+J10&gt;=359,J9+J10-359,J9+J10+1),IF(J9+J10&gt;=360,J9+J10-360,J9+J10)),IF(L9-L10&lt;0,IF(J10&gt;=J9,J9-J10+359,J9-J10-1),IF(J10&gt;=J9,J9-J10+360,J9-J10)))</f>
        <v>271</v>
      </c>
      <c r="K11" s="1" t="s">
        <v>47</v>
      </c>
      <c r="L11" s="2">
        <f>IF(N10="E",IF(L9+L10&lt;60,L9+L10,L9+L10-60),IF(L9-L10&lt;0,L9-L10+60,L9-L10))</f>
        <v>27.200000000000006</v>
      </c>
      <c r="M11" s="3" t="s">
        <v>5</v>
      </c>
      <c r="N11" s="1" t="s">
        <v>7</v>
      </c>
      <c r="O11" s="8"/>
      <c r="P11" s="8"/>
      <c r="Q11" s="8"/>
      <c r="R11" s="8"/>
      <c r="S11" s="8"/>
      <c r="T11" s="8"/>
      <c r="U11" s="8"/>
      <c r="V11" s="8"/>
    </row>
    <row r="12" spans="1:22" ht="15.75">
      <c r="A12" s="13" t="s">
        <v>21</v>
      </c>
      <c r="B12" s="41"/>
      <c r="C12" s="41"/>
      <c r="D12" s="5">
        <f>Data!C10</f>
        <v>0</v>
      </c>
      <c r="E12" s="6" t="s">
        <v>5</v>
      </c>
      <c r="F12" s="41"/>
      <c r="G12" s="8"/>
      <c r="H12" s="8"/>
      <c r="I12" s="64"/>
      <c r="J12" s="20">
        <f>IF(J11&gt;=180,359-J11," ")</f>
        <v>88</v>
      </c>
      <c r="K12" s="4" t="str">
        <f>IF(J12=" "," ","º")</f>
        <v>º</v>
      </c>
      <c r="L12" s="5">
        <f>IF(J11&gt;=180,60-L11," ")</f>
        <v>32.8</v>
      </c>
      <c r="M12" s="4" t="str">
        <f>IF(J12=" "," ","'")</f>
        <v>'</v>
      </c>
      <c r="N12" s="4" t="str">
        <f>IF(J12=" "," ","E")</f>
        <v>E</v>
      </c>
      <c r="O12" s="8"/>
      <c r="P12" s="8"/>
      <c r="Q12" s="8"/>
      <c r="R12" s="8"/>
      <c r="S12" s="8"/>
      <c r="T12" s="8"/>
      <c r="U12" s="8"/>
      <c r="V12" s="27"/>
    </row>
    <row r="13" spans="1:24" ht="15.75">
      <c r="A13" s="13" t="s">
        <v>19</v>
      </c>
      <c r="B13" s="41"/>
      <c r="C13" s="41"/>
      <c r="D13" s="5">
        <f>Data!C12</f>
        <v>24</v>
      </c>
      <c r="E13" s="4" t="s">
        <v>20</v>
      </c>
      <c r="F13" s="41"/>
      <c r="G13" s="2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X13" s="5"/>
    </row>
    <row r="14" spans="1:22" ht="15.75">
      <c r="A14" s="77" t="s">
        <v>37</v>
      </c>
      <c r="B14" s="41"/>
      <c r="C14" s="41"/>
      <c r="D14" s="55">
        <f>Data!C13</f>
        <v>25</v>
      </c>
      <c r="E14" s="4" t="s">
        <v>47</v>
      </c>
      <c r="F14" s="41" t="s">
        <v>54</v>
      </c>
      <c r="G14" s="9"/>
      <c r="H14" s="68" t="str">
        <f>A10</f>
        <v>ОС</v>
      </c>
      <c r="I14" s="41"/>
      <c r="J14" s="4">
        <f>B10</f>
        <v>12</v>
      </c>
      <c r="K14" s="41" t="s">
        <v>47</v>
      </c>
      <c r="L14" s="5">
        <f>D10</f>
        <v>56.8</v>
      </c>
      <c r="M14" s="6" t="s">
        <v>5</v>
      </c>
      <c r="N14" s="4"/>
      <c r="O14" s="9"/>
      <c r="P14" s="9"/>
      <c r="Q14" s="9"/>
      <c r="R14" s="9"/>
      <c r="S14" s="9"/>
      <c r="T14" s="9"/>
      <c r="U14" s="9"/>
      <c r="V14" s="9"/>
    </row>
    <row r="15" spans="1:22" ht="15.75">
      <c r="A15" s="76" t="s">
        <v>38</v>
      </c>
      <c r="B15" s="41"/>
      <c r="C15" s="41"/>
      <c r="D15" s="41">
        <f>Data!C14</f>
        <v>768</v>
      </c>
      <c r="E15" s="104" t="s">
        <v>59</v>
      </c>
      <c r="F15" s="104"/>
      <c r="G15" s="9"/>
      <c r="H15" s="68" t="s">
        <v>16</v>
      </c>
      <c r="I15" s="41"/>
      <c r="J15" s="4"/>
      <c r="K15" s="4"/>
      <c r="L15" s="5">
        <f>D11</f>
        <v>-0.1</v>
      </c>
      <c r="M15" s="6" t="s">
        <v>5</v>
      </c>
      <c r="N15" s="4"/>
      <c r="O15" s="9"/>
      <c r="P15" s="9"/>
      <c r="Q15" s="9"/>
      <c r="R15" s="9"/>
      <c r="S15" s="9"/>
      <c r="T15" s="9"/>
      <c r="U15" s="9"/>
      <c r="V15" s="9"/>
    </row>
    <row r="16" spans="1:22" ht="15.75">
      <c r="A16" s="13" t="s">
        <v>23</v>
      </c>
      <c r="B16" s="41"/>
      <c r="C16" s="41"/>
      <c r="D16" s="51" t="str">
        <f>Data!B15</f>
        <v>L</v>
      </c>
      <c r="E16" s="41"/>
      <c r="F16" s="41"/>
      <c r="G16" s="9"/>
      <c r="H16" s="68" t="str">
        <f>A12</f>
        <v>s</v>
      </c>
      <c r="I16" s="41"/>
      <c r="J16" s="4"/>
      <c r="K16" s="4"/>
      <c r="L16" s="5">
        <f>D12</f>
        <v>0</v>
      </c>
      <c r="M16" s="6" t="s">
        <v>5</v>
      </c>
      <c r="N16" s="4"/>
      <c r="O16" s="9"/>
      <c r="P16" s="9"/>
      <c r="Q16" s="9"/>
      <c r="R16" s="9"/>
      <c r="S16" s="9"/>
      <c r="T16" s="9"/>
      <c r="U16" s="9"/>
      <c r="V16" s="9"/>
    </row>
    <row r="17" spans="1:22" ht="15.75">
      <c r="A17" s="9"/>
      <c r="B17" s="9"/>
      <c r="C17" s="9"/>
      <c r="D17" s="9"/>
      <c r="E17" s="9"/>
      <c r="F17" s="9"/>
      <c r="G17" s="9"/>
      <c r="H17" s="68" t="s">
        <v>17</v>
      </c>
      <c r="I17" s="41"/>
      <c r="J17" s="4"/>
      <c r="K17" s="4"/>
      <c r="L17" s="5">
        <f>-1.7603*SQRT(D13)</f>
        <v>-8.623673588442456</v>
      </c>
      <c r="M17" s="6" t="s">
        <v>5</v>
      </c>
      <c r="N17" s="4"/>
      <c r="O17" s="9"/>
      <c r="P17" s="9"/>
      <c r="Q17" s="9"/>
      <c r="R17" s="9"/>
      <c r="S17" s="9"/>
      <c r="T17" s="9"/>
      <c r="U17" s="9"/>
      <c r="V17" s="9"/>
    </row>
    <row r="18" spans="1:22" ht="15.75">
      <c r="A18" s="9"/>
      <c r="B18" s="9"/>
      <c r="C18" s="9"/>
      <c r="D18" s="9"/>
      <c r="E18" s="9"/>
      <c r="F18" s="9"/>
      <c r="G18" s="9"/>
      <c r="H18" s="68" t="s">
        <v>82</v>
      </c>
      <c r="I18" s="41"/>
      <c r="J18" s="4"/>
      <c r="K18" s="4"/>
      <c r="L18" s="4">
        <f>Tables!B58</f>
        <v>-4.1</v>
      </c>
      <c r="M18" s="6" t="s">
        <v>5</v>
      </c>
      <c r="N18" s="4"/>
      <c r="O18" s="22"/>
      <c r="P18" s="9"/>
      <c r="Q18" s="9"/>
      <c r="R18" s="9"/>
      <c r="S18" s="9"/>
      <c r="T18" s="9"/>
      <c r="U18" s="9"/>
      <c r="V18" s="8"/>
    </row>
    <row r="19" spans="1:22" ht="15.75">
      <c r="A19" s="9"/>
      <c r="B19" s="9"/>
      <c r="C19" s="9"/>
      <c r="D19" s="9"/>
      <c r="E19" s="9"/>
      <c r="F19" s="9"/>
      <c r="G19" s="9"/>
      <c r="H19" s="68" t="s">
        <v>18</v>
      </c>
      <c r="I19" s="41"/>
      <c r="J19" s="4"/>
      <c r="K19" s="4"/>
      <c r="L19" s="5">
        <f>IF(D16="L",Tables!N13,-1*Tables!N13)</f>
        <v>16.3</v>
      </c>
      <c r="M19" s="6" t="s">
        <v>5</v>
      </c>
      <c r="N19" s="4"/>
      <c r="O19" s="9"/>
      <c r="P19" s="9"/>
      <c r="Q19" s="9"/>
      <c r="R19" s="9"/>
      <c r="S19" s="9"/>
      <c r="T19" s="9"/>
      <c r="U19" s="9"/>
      <c r="V19" s="24"/>
    </row>
    <row r="20" spans="1:22" ht="15.75">
      <c r="A20" s="9"/>
      <c r="B20" s="9"/>
      <c r="C20" s="9"/>
      <c r="D20" s="9"/>
      <c r="E20" s="9"/>
      <c r="F20" s="9"/>
      <c r="G20" s="9"/>
      <c r="H20" s="68" t="s">
        <v>55</v>
      </c>
      <c r="I20" s="41"/>
      <c r="J20" s="4"/>
      <c r="K20" s="4"/>
      <c r="L20" s="5">
        <f>Data!H22</f>
        <v>0.1</v>
      </c>
      <c r="M20" s="6" t="s">
        <v>5</v>
      </c>
      <c r="N20" s="4"/>
      <c r="O20" s="9"/>
      <c r="P20" s="9"/>
      <c r="Q20" s="9"/>
      <c r="R20" s="9"/>
      <c r="S20" s="9"/>
      <c r="T20" s="9"/>
      <c r="U20" s="9"/>
      <c r="V20" s="9"/>
    </row>
    <row r="21" spans="1:22" ht="15.75">
      <c r="A21" s="9"/>
      <c r="B21" s="9"/>
      <c r="C21" s="9"/>
      <c r="D21" s="9"/>
      <c r="E21" s="9"/>
      <c r="F21" s="9"/>
      <c r="G21" s="9"/>
      <c r="H21" s="69" t="s">
        <v>24</v>
      </c>
      <c r="I21" s="42"/>
      <c r="J21" s="70">
        <f>IF(SUM(L14:L20)&gt;=60,J14+1,IF(SUM(L14:L20)&lt;0,J14-1,J14))</f>
        <v>13</v>
      </c>
      <c r="K21" s="42" t="s">
        <v>47</v>
      </c>
      <c r="L21" s="2">
        <f>IF(SUM(L14:L20)&gt;=60,SUM(L14:L20)-60,IF(SUM(L14:L20)&lt;0,SUM(L14:L20)+60,SUM(L14:L20)))</f>
        <v>0.3763264115575353</v>
      </c>
      <c r="M21" s="3" t="s">
        <v>5</v>
      </c>
      <c r="N21" s="1"/>
      <c r="O21" s="9"/>
      <c r="P21" s="9"/>
      <c r="Q21" s="9"/>
      <c r="R21" s="9"/>
      <c r="S21" s="9"/>
      <c r="T21" s="9"/>
      <c r="U21" s="9"/>
      <c r="V21" s="9"/>
    </row>
    <row r="22" spans="1:22" ht="15.75">
      <c r="A22" s="9"/>
      <c r="B22" s="9"/>
      <c r="C22" s="9"/>
      <c r="D22" s="9"/>
      <c r="E22" s="9"/>
      <c r="F22" s="9"/>
      <c r="G22" s="9"/>
      <c r="H22" s="72" t="s">
        <v>28</v>
      </c>
      <c r="I22" s="71"/>
      <c r="J22" s="78">
        <f>J29</f>
        <v>12</v>
      </c>
      <c r="K22" s="71" t="s">
        <v>47</v>
      </c>
      <c r="L22" s="62">
        <f>L29</f>
        <v>57.6</v>
      </c>
      <c r="M22" s="63" t="s">
        <v>5</v>
      </c>
      <c r="N22" s="61"/>
      <c r="O22" s="9"/>
      <c r="P22" s="9"/>
      <c r="Q22" s="9"/>
      <c r="R22" s="9"/>
      <c r="S22" s="9"/>
      <c r="T22" s="9"/>
      <c r="U22" s="9"/>
      <c r="V22" s="9"/>
    </row>
    <row r="23" spans="1:22" ht="15.75">
      <c r="A23" s="9"/>
      <c r="B23" s="9"/>
      <c r="C23" s="9"/>
      <c r="D23" s="9"/>
      <c r="E23" s="9"/>
      <c r="F23" s="9"/>
      <c r="G23" s="9"/>
      <c r="H23" s="68" t="s">
        <v>32</v>
      </c>
      <c r="I23" s="56" t="str">
        <f>IF(J21+L21/60-J22-L22/60&lt;0,"-"," ")</f>
        <v> </v>
      </c>
      <c r="J23" s="41">
        <f>TRUNC(J21+L21/60-J22-L22/60,0)</f>
        <v>0</v>
      </c>
      <c r="K23" s="41" t="s">
        <v>47</v>
      </c>
      <c r="L23" s="55">
        <f>ABS((J21+L21/60-J22-L22/60)-J23)*60</f>
        <v>2.7763264115575237</v>
      </c>
      <c r="M23" s="6" t="s">
        <v>5</v>
      </c>
      <c r="N23" s="41"/>
      <c r="O23" s="9"/>
      <c r="P23" s="9"/>
      <c r="Q23" s="9"/>
      <c r="R23" s="9"/>
      <c r="S23" s="9"/>
      <c r="T23" s="9"/>
      <c r="U23" s="9"/>
      <c r="V23" s="9"/>
    </row>
    <row r="24" spans="1:22" ht="12.75">
      <c r="A24" s="9"/>
      <c r="B24" s="9"/>
      <c r="C24" s="9"/>
      <c r="D24" s="9"/>
      <c r="E24" s="9"/>
      <c r="F24" s="9"/>
      <c r="G24" s="9"/>
      <c r="H24" s="9"/>
      <c r="I24" s="9"/>
      <c r="J24" s="8"/>
      <c r="K24" s="9"/>
      <c r="L24" s="8"/>
      <c r="M24" s="9"/>
      <c r="N24" s="9"/>
      <c r="O24" s="9"/>
      <c r="P24" s="9"/>
      <c r="Q24" s="9"/>
      <c r="R24" s="9"/>
      <c r="S24" s="9"/>
      <c r="T24" s="9"/>
      <c r="U24" s="9"/>
      <c r="V24" s="8"/>
    </row>
    <row r="25" spans="1:37" ht="15.75">
      <c r="A25" s="23" t="str">
        <f>A8</f>
        <v>j</v>
      </c>
      <c r="B25" s="4">
        <f>IF(D8&lt;30,B8,B8+1)</f>
        <v>44</v>
      </c>
      <c r="C25" s="41" t="s">
        <v>47</v>
      </c>
      <c r="D25" s="5">
        <f>IF(D8&lt;30,D8,D8-60)</f>
        <v>-28</v>
      </c>
      <c r="E25" s="6" t="s">
        <v>5</v>
      </c>
      <c r="F25" s="4" t="str">
        <f>F8</f>
        <v>N</v>
      </c>
      <c r="G25" s="9"/>
      <c r="H25" s="72" t="s">
        <v>25</v>
      </c>
      <c r="I25" s="71"/>
      <c r="J25" s="61">
        <f>ROUND(TRUNC(ABS(90-Tables!$I$2),0),0)</f>
        <v>12</v>
      </c>
      <c r="K25" s="71" t="s">
        <v>47</v>
      </c>
      <c r="L25" s="61">
        <f>ROUND((ABS(90-Tables!$I$2)-$J$25)*60,1)</f>
        <v>25.3</v>
      </c>
      <c r="M25" s="63" t="s">
        <v>5</v>
      </c>
      <c r="N25" s="9"/>
      <c r="O25" s="72" t="s">
        <v>29</v>
      </c>
      <c r="P25" s="71"/>
      <c r="Q25" s="108">
        <f>IF(Tables!$J$2&lt;0,180+Tables!$J$2,Tables!$J$2)</f>
        <v>78.3</v>
      </c>
      <c r="R25" s="108"/>
      <c r="S25" s="71" t="s">
        <v>47</v>
      </c>
      <c r="T25" s="9"/>
      <c r="U25" s="9"/>
      <c r="V25" s="9"/>
      <c r="AJ25" s="107"/>
      <c r="AK25" s="107"/>
    </row>
    <row r="26" spans="1:22" ht="15.75">
      <c r="A26" s="23" t="str">
        <f>O8</f>
        <v>d</v>
      </c>
      <c r="B26" s="4">
        <f>IF(S8&lt;30,Q8,Q8+1)</f>
        <v>17</v>
      </c>
      <c r="C26" s="41" t="s">
        <v>47</v>
      </c>
      <c r="D26" s="5">
        <f>IF(S8&lt;30,S8,S8-60)</f>
        <v>27.599999999999998</v>
      </c>
      <c r="E26" s="6" t="s">
        <v>5</v>
      </c>
      <c r="F26" s="4" t="str">
        <f>U8</f>
        <v>N</v>
      </c>
      <c r="G26" s="9"/>
      <c r="H26" s="23" t="s">
        <v>26</v>
      </c>
      <c r="I26" s="41"/>
      <c r="J26" s="4"/>
      <c r="K26" s="4"/>
      <c r="L26" s="5">
        <f>COS(RADIANS(Q25))*D25</f>
        <v>-5.67804426998235</v>
      </c>
      <c r="M26" s="6" t="s">
        <v>5</v>
      </c>
      <c r="N26" s="9"/>
      <c r="O26" s="23" t="s">
        <v>26</v>
      </c>
      <c r="P26" s="41"/>
      <c r="Q26" s="102">
        <f>ROUND(TAN(RADIANS(J25))*SIN(RADIANS(Q25))*RADIANS(D25),1)</f>
        <v>-0.1</v>
      </c>
      <c r="R26" s="102"/>
      <c r="S26" s="41" t="s">
        <v>47</v>
      </c>
      <c r="T26" s="9"/>
      <c r="U26" s="9"/>
      <c r="V26" s="9"/>
    </row>
    <row r="27" spans="1:22" ht="15.75">
      <c r="A27" s="19" t="str">
        <f>H11</f>
        <v>t м</v>
      </c>
      <c r="B27" s="4">
        <f>IF(IF(L12=" ",L11,L12)&lt;30,IF(J12=" ",J11,J12),IF(J12=" ",J11,J12)+1)</f>
        <v>89</v>
      </c>
      <c r="C27" s="41" t="s">
        <v>47</v>
      </c>
      <c r="D27" s="5">
        <f>IF(IF(L12=" ",L11,L12)&lt;30,IF(L12=" ",L11,L12),IF(L12=" ",L11,L12)-60)</f>
        <v>-27.200000000000003</v>
      </c>
      <c r="E27" s="6" t="s">
        <v>5</v>
      </c>
      <c r="F27" s="4" t="str">
        <f>IF(N12=" ",N11,N12)</f>
        <v>E</v>
      </c>
      <c r="G27" s="9"/>
      <c r="H27" s="23" t="s">
        <v>15</v>
      </c>
      <c r="I27" s="41"/>
      <c r="J27" s="4"/>
      <c r="K27" s="4"/>
      <c r="L27" s="4">
        <f>COS(RADIANS(B28))*D26</f>
        <v>18.823154737724956</v>
      </c>
      <c r="M27" s="6" t="s">
        <v>5</v>
      </c>
      <c r="N27" s="9"/>
      <c r="O27" s="23" t="s">
        <v>15</v>
      </c>
      <c r="P27" s="41"/>
      <c r="Q27" s="102">
        <f>ROUND(-COS(RADIANS(B25))*RADIANS(D26)*POWER(SIN(RADIANS(Q25)),2)/(SIN(RADIANS(B27))*POWER(COS(RADIANS(B26)),2)),1)</f>
        <v>-0.4</v>
      </c>
      <c r="R27" s="102"/>
      <c r="S27" s="41" t="s">
        <v>47</v>
      </c>
      <c r="T27" s="9"/>
      <c r="U27" s="9"/>
      <c r="V27" s="9"/>
    </row>
    <row r="28" spans="1:22" ht="15.75">
      <c r="A28" s="19" t="s">
        <v>31</v>
      </c>
      <c r="B28" s="4">
        <f>IF(F25=F26,IF(Tables!K2&lt;0,180+Tables!K2,Tables!K2),180-IF(Tables!K2&lt;0,180+Tables!K2,Tables!K2))</f>
        <v>47</v>
      </c>
      <c r="C28" s="41" t="s">
        <v>47</v>
      </c>
      <c r="D28" s="4"/>
      <c r="E28" s="4"/>
      <c r="F28" s="4"/>
      <c r="G28" s="9"/>
      <c r="H28" s="23" t="s">
        <v>27</v>
      </c>
      <c r="I28" s="41"/>
      <c r="J28" s="4"/>
      <c r="K28" s="4"/>
      <c r="L28" s="4">
        <f>ROUND(-SIN(RADIANS(Q25))*COS(RADIANS(B25))*D27,1)</f>
        <v>19.2</v>
      </c>
      <c r="M28" s="6" t="s">
        <v>5</v>
      </c>
      <c r="N28" s="9"/>
      <c r="O28" s="23" t="s">
        <v>27</v>
      </c>
      <c r="P28" s="41"/>
      <c r="Q28" s="102">
        <f>ROUND((COS(RADIANS(B25))*TAN(RADIANS(J25))*COS(RADIANS(Q25))-SIN(RADIANS(B25)))*RADIANS(D27),1)</f>
        <v>0.3</v>
      </c>
      <c r="R28" s="102"/>
      <c r="S28" s="41" t="s">
        <v>47</v>
      </c>
      <c r="T28" s="9"/>
      <c r="U28" s="9"/>
      <c r="V28" s="9"/>
    </row>
    <row r="29" spans="1:22" ht="15.75">
      <c r="A29" s="9"/>
      <c r="B29" s="9"/>
      <c r="C29" s="9"/>
      <c r="D29" s="9"/>
      <c r="E29" s="9"/>
      <c r="F29" s="9"/>
      <c r="G29" s="9"/>
      <c r="H29" s="69" t="s">
        <v>28</v>
      </c>
      <c r="I29" s="42"/>
      <c r="J29" s="70">
        <f>IF(SUM(L25:L28)&gt;=60,J25+1,IF(SUM(L25:L28)&lt;0,J25-1,J25))</f>
        <v>12</v>
      </c>
      <c r="K29" s="42" t="s">
        <v>47</v>
      </c>
      <c r="L29" s="2">
        <f>ROUND(IF(SUM(L25:L28)&gt;=60,SUM(L25:L28)-60,IF(SUM(L25:L28)&lt;0,SUM(L25:L28)+60,SUM(L25:L28))),1)</f>
        <v>57.6</v>
      </c>
      <c r="M29" s="3" t="s">
        <v>5</v>
      </c>
      <c r="N29" s="9"/>
      <c r="O29" s="69" t="s">
        <v>30</v>
      </c>
      <c r="P29" s="42"/>
      <c r="Q29" s="99">
        <f>ROUND(SUM(Q25:R28),1)</f>
        <v>78.1</v>
      </c>
      <c r="R29" s="100"/>
      <c r="S29" s="1" t="str">
        <f>CONCATENATE(F25,F27)</f>
        <v>NE</v>
      </c>
      <c r="T29" s="9"/>
      <c r="U29" s="9"/>
      <c r="V29" s="9"/>
    </row>
    <row r="30" spans="1:22" ht="15.75">
      <c r="A30" s="9"/>
      <c r="B30" s="8"/>
      <c r="C30" s="9"/>
      <c r="D30" s="9"/>
      <c r="E30" s="9"/>
      <c r="F30" s="9"/>
      <c r="G30" s="9"/>
      <c r="H30" s="68"/>
      <c r="I30" s="41"/>
      <c r="J30" s="4"/>
      <c r="K30" s="41"/>
      <c r="L30" s="55"/>
      <c r="M30" s="41"/>
      <c r="N30" s="9"/>
      <c r="O30" s="8"/>
      <c r="P30" s="9"/>
      <c r="Q30" s="8"/>
      <c r="R30" s="8"/>
      <c r="S30" s="9"/>
      <c r="T30" s="9"/>
      <c r="U30" s="9"/>
      <c r="V30" s="9"/>
    </row>
    <row r="31" spans="1:22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15.75">
      <c r="A33" s="9"/>
      <c r="B33" s="9"/>
      <c r="C33" s="9"/>
      <c r="D33" s="9"/>
      <c r="E33" s="9"/>
      <c r="F33" s="9"/>
      <c r="G33" s="9"/>
      <c r="H33" s="19" t="s">
        <v>30</v>
      </c>
      <c r="I33" s="41"/>
      <c r="J33" s="101">
        <f>IF(S29="ne",Q29,IF(S29="sw",180+Q29,IF(S29="SE",180-Q29,360-Q29)))</f>
        <v>78.1</v>
      </c>
      <c r="K33" s="101"/>
      <c r="L33" s="41" t="s">
        <v>47</v>
      </c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15.75">
      <c r="A34" s="9"/>
      <c r="B34" s="9"/>
      <c r="C34" s="9"/>
      <c r="D34" s="9"/>
      <c r="E34" s="9"/>
      <c r="F34" s="9"/>
      <c r="G34" s="9"/>
      <c r="H34" s="19" t="s">
        <v>32</v>
      </c>
      <c r="I34" s="41"/>
      <c r="J34" s="101">
        <f>ROUND((J21+L21/60-J22-L22/60)*60,1)</f>
        <v>2.8</v>
      </c>
      <c r="K34" s="101"/>
      <c r="L34" s="51" t="s">
        <v>64</v>
      </c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15.75">
      <c r="A35" s="9"/>
      <c r="B35" s="9"/>
      <c r="C35" s="9"/>
      <c r="D35" s="9"/>
      <c r="E35" s="9"/>
      <c r="F35" s="9"/>
      <c r="G35" s="9"/>
      <c r="H35" s="25"/>
      <c r="I35" s="9"/>
      <c r="J35" s="16"/>
      <c r="K35" s="16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15.75">
      <c r="A36" s="9"/>
      <c r="B36" s="9"/>
      <c r="C36" s="9"/>
      <c r="D36" s="9"/>
      <c r="E36" s="9"/>
      <c r="F36" s="9"/>
      <c r="G36" s="9"/>
      <c r="H36" s="25"/>
      <c r="I36" s="9"/>
      <c r="J36" s="16"/>
      <c r="K36" s="16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s="8" customFormat="1" ht="15.75">
      <c r="A37" s="9"/>
      <c r="B37" s="9"/>
      <c r="C37" s="9"/>
      <c r="D37" s="9"/>
      <c r="E37" s="9"/>
      <c r="F37" s="9"/>
      <c r="G37" s="9"/>
      <c r="H37" s="25"/>
      <c r="I37" s="9"/>
      <c r="J37" s="16"/>
      <c r="K37" s="16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ht="15.75">
      <c r="A38" s="9"/>
      <c r="B38" s="9"/>
      <c r="C38" s="9"/>
      <c r="D38" s="9"/>
      <c r="E38" s="9"/>
      <c r="F38" s="9"/>
      <c r="G38" s="9"/>
      <c r="H38" s="25"/>
      <c r="I38" s="9"/>
      <c r="J38" s="16"/>
      <c r="K38" s="16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15.75">
      <c r="A39" s="9"/>
      <c r="B39" s="9"/>
      <c r="C39" s="9"/>
      <c r="D39" s="9"/>
      <c r="E39" s="9"/>
      <c r="F39" s="9"/>
      <c r="G39" s="9"/>
      <c r="H39" s="25"/>
      <c r="I39" s="9"/>
      <c r="J39" s="16"/>
      <c r="K39" s="16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14.25" customHeight="1">
      <c r="A40" s="9"/>
      <c r="B40" s="9"/>
      <c r="C40" s="9"/>
      <c r="D40" s="9"/>
      <c r="E40" s="9"/>
      <c r="F40" s="9"/>
      <c r="G40" s="9"/>
      <c r="H40" s="25"/>
      <c r="I40" s="9"/>
      <c r="J40" s="16"/>
      <c r="K40" s="16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15.75">
      <c r="A41" s="9"/>
      <c r="B41" s="9"/>
      <c r="C41" s="9"/>
      <c r="D41" s="9"/>
      <c r="E41" s="9"/>
      <c r="F41" s="9"/>
      <c r="G41" s="9"/>
      <c r="H41" s="25"/>
      <c r="I41" s="9"/>
      <c r="J41" s="16"/>
      <c r="K41" s="16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15.75">
      <c r="A42" s="9"/>
      <c r="B42" s="9"/>
      <c r="C42" s="9"/>
      <c r="D42" s="9"/>
      <c r="E42" s="9"/>
      <c r="F42" s="9"/>
      <c r="G42" s="9"/>
      <c r="H42" s="25"/>
      <c r="I42" s="9"/>
      <c r="J42" s="16"/>
      <c r="K42" s="16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15.75">
      <c r="A43" s="9"/>
      <c r="B43" s="9"/>
      <c r="C43" s="9"/>
      <c r="D43" s="9"/>
      <c r="E43" s="9"/>
      <c r="F43" s="9"/>
      <c r="G43" s="9"/>
      <c r="H43" s="25"/>
      <c r="I43" s="9"/>
      <c r="J43" s="16"/>
      <c r="K43" s="16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15.75">
      <c r="A44" s="9"/>
      <c r="B44" s="9"/>
      <c r="C44" s="9"/>
      <c r="D44" s="9"/>
      <c r="E44" s="9"/>
      <c r="F44" s="9"/>
      <c r="G44" s="9"/>
      <c r="H44" s="25"/>
      <c r="I44" s="9"/>
      <c r="J44" s="16"/>
      <c r="K44" s="16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12.75">
      <c r="A47" s="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  <c r="T47" s="9"/>
      <c r="U47" s="9"/>
      <c r="V47" s="9"/>
    </row>
    <row r="48" spans="1:22" ht="18.75">
      <c r="A48" s="8"/>
      <c r="B48" s="98" t="s">
        <v>86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8"/>
      <c r="T48" s="8"/>
      <c r="U48" s="8"/>
      <c r="V48" s="9"/>
    </row>
    <row r="49" spans="1:22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9"/>
    </row>
    <row r="50" spans="1:22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9"/>
    </row>
    <row r="51" spans="1:22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9"/>
    </row>
    <row r="52" spans="1:22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2"/>
      <c r="T52" s="8"/>
      <c r="U52" s="8"/>
      <c r="V52" s="9"/>
    </row>
    <row r="53" spans="1:22" ht="15.75">
      <c r="A53" s="13" t="s">
        <v>3</v>
      </c>
      <c r="B53" s="105">
        <f>Data!H28</f>
        <v>38567</v>
      </c>
      <c r="C53" s="105"/>
      <c r="D53" s="105"/>
      <c r="E53" s="103" t="s">
        <v>8</v>
      </c>
      <c r="F53" s="103"/>
      <c r="G53" s="8"/>
      <c r="H53" s="57" t="s">
        <v>9</v>
      </c>
      <c r="I53" s="66"/>
      <c r="J53" s="4">
        <f>Data!H35</f>
        <v>13</v>
      </c>
      <c r="K53" s="4" t="s">
        <v>47</v>
      </c>
      <c r="L53" s="5">
        <f>Data!I35</f>
        <v>27.9</v>
      </c>
      <c r="M53" s="6" t="s">
        <v>5</v>
      </c>
      <c r="N53" s="4" t="s">
        <v>7</v>
      </c>
      <c r="O53" s="14" t="s">
        <v>14</v>
      </c>
      <c r="P53" s="8"/>
      <c r="Q53" s="4">
        <f>Data!H39</f>
        <v>17</v>
      </c>
      <c r="R53" s="4" t="s">
        <v>47</v>
      </c>
      <c r="S53" s="5">
        <f>Data!I39</f>
        <v>23.6</v>
      </c>
      <c r="T53" s="6" t="s">
        <v>5</v>
      </c>
      <c r="U53" s="4" t="str">
        <f>Data!J39</f>
        <v>N</v>
      </c>
      <c r="V53" s="9"/>
    </row>
    <row r="54" spans="1:22" ht="15.75">
      <c r="A54" s="13" t="s">
        <v>0</v>
      </c>
      <c r="B54" s="106">
        <f>Data!H29</f>
        <v>0.5590277777777778</v>
      </c>
      <c r="C54" s="106"/>
      <c r="D54" s="106"/>
      <c r="E54" s="103" t="s">
        <v>8</v>
      </c>
      <c r="F54" s="103"/>
      <c r="G54" s="8"/>
      <c r="H54" s="58" t="s">
        <v>10</v>
      </c>
      <c r="I54" s="64" t="s">
        <v>13</v>
      </c>
      <c r="J54" s="4">
        <f>Data!H36</f>
        <v>6</v>
      </c>
      <c r="K54" s="4" t="s">
        <v>47</v>
      </c>
      <c r="L54" s="5">
        <f>Data!I36</f>
        <v>15</v>
      </c>
      <c r="M54" s="6" t="s">
        <v>5</v>
      </c>
      <c r="N54" s="4"/>
      <c r="O54" s="14" t="s">
        <v>15</v>
      </c>
      <c r="P54" s="8"/>
      <c r="Q54" s="4"/>
      <c r="R54" s="4"/>
      <c r="S54" s="4">
        <f>Data!I40</f>
        <v>0.7</v>
      </c>
      <c r="T54" s="6" t="s">
        <v>5</v>
      </c>
      <c r="U54" s="4"/>
      <c r="V54" s="9"/>
    </row>
    <row r="55" spans="1:22" ht="15.75">
      <c r="A55" s="15" t="s">
        <v>1</v>
      </c>
      <c r="B55" s="48">
        <f>Data!B28</f>
        <v>44</v>
      </c>
      <c r="C55" s="41" t="s">
        <v>47</v>
      </c>
      <c r="D55" s="52">
        <f>Data!C28</f>
        <v>16.8</v>
      </c>
      <c r="E55" s="53" t="s">
        <v>5</v>
      </c>
      <c r="F55" s="4" t="str">
        <f>Data!D28</f>
        <v>N</v>
      </c>
      <c r="G55" s="8"/>
      <c r="H55" s="60" t="s">
        <v>11</v>
      </c>
      <c r="I55" s="65" t="s">
        <v>13</v>
      </c>
      <c r="J55" s="61"/>
      <c r="K55" s="61"/>
      <c r="L55" s="62">
        <f>Data!I37</f>
        <v>15.8</v>
      </c>
      <c r="M55" s="63" t="s">
        <v>5</v>
      </c>
      <c r="N55" s="61"/>
      <c r="O55" s="17" t="str">
        <f>O53</f>
        <v>d</v>
      </c>
      <c r="P55" s="18"/>
      <c r="Q55" s="1">
        <f>IF(S53+S54&gt;=60,Q53+1,IF(S53+S54&lt;0,Q53-1,Q53))</f>
        <v>17</v>
      </c>
      <c r="R55" s="1" t="s">
        <v>47</v>
      </c>
      <c r="S55" s="2">
        <f>IF(S53+S54&gt;=60,S53+S54-60,IF(S53+S54&lt;0,S53+S54+60,S53+S54))</f>
        <v>24.3</v>
      </c>
      <c r="T55" s="3" t="s">
        <v>5</v>
      </c>
      <c r="U55" s="1" t="str">
        <f>U53</f>
        <v>N</v>
      </c>
      <c r="V55" s="9"/>
    </row>
    <row r="56" spans="1:22" ht="15.75">
      <c r="A56" s="15" t="s">
        <v>2</v>
      </c>
      <c r="B56" s="48">
        <f>Data!B29</f>
        <v>30</v>
      </c>
      <c r="C56" s="41" t="s">
        <v>47</v>
      </c>
      <c r="D56" s="52">
        <f>Data!C29</f>
        <v>39.2</v>
      </c>
      <c r="E56" s="54" t="s">
        <v>5</v>
      </c>
      <c r="F56" s="4" t="str">
        <f>Data!D29</f>
        <v>W</v>
      </c>
      <c r="G56" s="8"/>
      <c r="H56" s="57" t="s">
        <v>9</v>
      </c>
      <c r="I56" s="66"/>
      <c r="J56" s="4">
        <f>IF(L53+L54+L55&gt;=60,IF(J53+J54&gt;=359,J53+J54-359,J53+J54+1),IF(J53+J54&gt;=360,J53+J54-360,J53+J54))</f>
        <v>19</v>
      </c>
      <c r="K56" s="4" t="s">
        <v>47</v>
      </c>
      <c r="L56" s="5">
        <f>IF(L53+L54+L55&gt;=60,L53+L54+L55-60,L53+L54+L55)</f>
        <v>58.7</v>
      </c>
      <c r="M56" s="6" t="s">
        <v>5</v>
      </c>
      <c r="N56" s="4" t="s">
        <v>7</v>
      </c>
      <c r="O56" s="8"/>
      <c r="P56" s="8"/>
      <c r="Q56" s="8"/>
      <c r="R56" s="8"/>
      <c r="S56" s="8"/>
      <c r="T56" s="8"/>
      <c r="U56" s="8"/>
      <c r="V56" s="9"/>
    </row>
    <row r="57" spans="1:22" ht="15.75">
      <c r="A57" s="76" t="s">
        <v>4</v>
      </c>
      <c r="B57" s="48">
        <f>Data!B31</f>
        <v>61</v>
      </c>
      <c r="C57" s="41" t="s">
        <v>47</v>
      </c>
      <c r="D57" s="52">
        <f>Data!C31</f>
        <v>34.3</v>
      </c>
      <c r="E57" s="6" t="s">
        <v>5</v>
      </c>
      <c r="F57" s="4"/>
      <c r="G57" s="8"/>
      <c r="H57" s="58" t="s">
        <v>2</v>
      </c>
      <c r="I57" s="66"/>
      <c r="J57" s="4">
        <f>B56</f>
        <v>30</v>
      </c>
      <c r="K57" s="4" t="s">
        <v>47</v>
      </c>
      <c r="L57" s="5">
        <f>D56</f>
        <v>39.2</v>
      </c>
      <c r="M57" s="6" t="s">
        <v>5</v>
      </c>
      <c r="N57" s="4" t="str">
        <f>F56</f>
        <v>W</v>
      </c>
      <c r="O57" s="8"/>
      <c r="P57" s="8"/>
      <c r="Q57" s="8"/>
      <c r="R57" s="8"/>
      <c r="S57" s="8"/>
      <c r="T57" s="8"/>
      <c r="U57" s="8"/>
      <c r="V57" s="9"/>
    </row>
    <row r="58" spans="1:22" ht="15.75">
      <c r="A58" s="13" t="s">
        <v>16</v>
      </c>
      <c r="B58" s="41"/>
      <c r="C58" s="41"/>
      <c r="D58" s="5">
        <f>Data!C33</f>
        <v>-0.1</v>
      </c>
      <c r="E58" s="6" t="s">
        <v>5</v>
      </c>
      <c r="F58" s="41"/>
      <c r="G58" s="8"/>
      <c r="H58" s="59" t="s">
        <v>12</v>
      </c>
      <c r="I58" s="67"/>
      <c r="J58" s="1">
        <f>IF(N57="E",IF(L56+L57&gt;=60,IF(J56+J57&gt;=359,J56+J57-359,J56+J57+1),IF(J56+J57&gt;=360,J56+J57-360,J56+J57)),IF(L56-L57&lt;0,IF(J57&gt;=J56,J56-J57+359,J56-J57-1),IF(J57&gt;=J56,J56-J57+360,J56-J57)))</f>
        <v>349</v>
      </c>
      <c r="K58" s="1" t="s">
        <v>47</v>
      </c>
      <c r="L58" s="2">
        <f>IF(N57="E",IF(L56+L57&lt;60,L56+L57,L56+L57-60),IF(L56-L57&lt;0,L56-L57+60,L56-L57))</f>
        <v>19.5</v>
      </c>
      <c r="M58" s="3" t="s">
        <v>5</v>
      </c>
      <c r="N58" s="1" t="s">
        <v>7</v>
      </c>
      <c r="O58" s="8"/>
      <c r="P58" s="8"/>
      <c r="Q58" s="8"/>
      <c r="R58" s="8"/>
      <c r="S58" s="8"/>
      <c r="T58" s="8"/>
      <c r="U58" s="8"/>
      <c r="V58" s="9"/>
    </row>
    <row r="59" spans="1:22" ht="15.75">
      <c r="A59" s="13" t="s">
        <v>21</v>
      </c>
      <c r="B59" s="41"/>
      <c r="C59" s="41"/>
      <c r="D59" s="5">
        <f>Data!C32</f>
        <v>0</v>
      </c>
      <c r="E59" s="6" t="s">
        <v>5</v>
      </c>
      <c r="F59" s="41"/>
      <c r="G59" s="8"/>
      <c r="H59" s="8"/>
      <c r="I59" s="64"/>
      <c r="J59" s="20">
        <f>IF(J58&gt;=180,359-J58," ")</f>
        <v>10</v>
      </c>
      <c r="K59" s="4" t="str">
        <f>IF(J59=" "," ","º")</f>
        <v>º</v>
      </c>
      <c r="L59" s="5">
        <f>IF(J58&gt;=180,60-L58," ")</f>
        <v>40.5</v>
      </c>
      <c r="M59" s="4" t="str">
        <f>IF(J59=" "," ","'")</f>
        <v>'</v>
      </c>
      <c r="N59" s="4" t="str">
        <f>IF(J59=" "," ","E")</f>
        <v>E</v>
      </c>
      <c r="O59" s="8"/>
      <c r="P59" s="8"/>
      <c r="Q59" s="8"/>
      <c r="R59" s="8"/>
      <c r="S59" s="8"/>
      <c r="T59" s="8"/>
      <c r="U59" s="8"/>
      <c r="V59" s="8"/>
    </row>
    <row r="60" spans="1:22" ht="15.75">
      <c r="A60" s="13" t="s">
        <v>19</v>
      </c>
      <c r="B60" s="41"/>
      <c r="C60" s="41"/>
      <c r="D60" s="5">
        <f>Data!C34</f>
        <v>24</v>
      </c>
      <c r="E60" s="4" t="s">
        <v>20</v>
      </c>
      <c r="F60" s="41"/>
      <c r="G60" s="21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5.75">
      <c r="A61" s="77" t="s">
        <v>37</v>
      </c>
      <c r="B61" s="41"/>
      <c r="C61" s="41"/>
      <c r="D61" s="55">
        <f>Data!C35</f>
        <v>25</v>
      </c>
      <c r="E61" s="41" t="s">
        <v>47</v>
      </c>
      <c r="F61" s="41" t="s">
        <v>54</v>
      </c>
      <c r="G61" s="9"/>
      <c r="H61" s="68" t="str">
        <f>A57</f>
        <v>ОС</v>
      </c>
      <c r="I61" s="41"/>
      <c r="J61" s="4">
        <f>B57</f>
        <v>61</v>
      </c>
      <c r="K61" s="41" t="s">
        <v>47</v>
      </c>
      <c r="L61" s="5">
        <f>D57</f>
        <v>34.3</v>
      </c>
      <c r="M61" s="6" t="s">
        <v>5</v>
      </c>
      <c r="N61" s="4"/>
      <c r="O61" s="9"/>
      <c r="P61" s="9"/>
      <c r="Q61" s="9"/>
      <c r="R61" s="9"/>
      <c r="S61" s="9"/>
      <c r="T61" s="9"/>
      <c r="U61" s="9"/>
      <c r="V61" s="8"/>
    </row>
    <row r="62" spans="1:22" ht="15.75">
      <c r="A62" s="76" t="s">
        <v>38</v>
      </c>
      <c r="B62" s="41"/>
      <c r="C62" s="41"/>
      <c r="D62" s="41">
        <f>Data!C36</f>
        <v>770</v>
      </c>
      <c r="E62" s="104" t="s">
        <v>59</v>
      </c>
      <c r="F62" s="104"/>
      <c r="G62" s="9"/>
      <c r="H62" s="68" t="s">
        <v>16</v>
      </c>
      <c r="I62" s="41"/>
      <c r="J62" s="4"/>
      <c r="K62" s="4"/>
      <c r="L62" s="5">
        <f>D58</f>
        <v>-0.1</v>
      </c>
      <c r="M62" s="6" t="s">
        <v>5</v>
      </c>
      <c r="N62" s="4"/>
      <c r="O62" s="9"/>
      <c r="P62" s="9"/>
      <c r="Q62" s="9"/>
      <c r="R62" s="9"/>
      <c r="S62" s="9"/>
      <c r="T62" s="9"/>
      <c r="U62" s="9"/>
      <c r="V62" s="8"/>
    </row>
    <row r="63" spans="1:22" ht="15.75">
      <c r="A63" s="13" t="s">
        <v>23</v>
      </c>
      <c r="B63" s="41"/>
      <c r="C63" s="41"/>
      <c r="D63" s="51" t="str">
        <f>Data!B37</f>
        <v>L</v>
      </c>
      <c r="E63" s="41"/>
      <c r="F63" s="41"/>
      <c r="G63" s="9"/>
      <c r="H63" s="68" t="str">
        <f>A59</f>
        <v>s</v>
      </c>
      <c r="I63" s="41"/>
      <c r="J63" s="4"/>
      <c r="K63" s="4"/>
      <c r="L63" s="5">
        <f>D59</f>
        <v>0</v>
      </c>
      <c r="M63" s="6" t="s">
        <v>5</v>
      </c>
      <c r="N63" s="4"/>
      <c r="O63" s="9"/>
      <c r="P63" s="9"/>
      <c r="Q63" s="9"/>
      <c r="R63" s="9"/>
      <c r="S63" s="9"/>
      <c r="T63" s="9"/>
      <c r="U63" s="9"/>
      <c r="V63" s="8"/>
    </row>
    <row r="64" spans="1:22" ht="15.75">
      <c r="A64" s="9"/>
      <c r="B64" s="9"/>
      <c r="C64" s="9"/>
      <c r="D64" s="9"/>
      <c r="E64" s="9"/>
      <c r="F64" s="9"/>
      <c r="G64" s="9"/>
      <c r="H64" s="68" t="s">
        <v>17</v>
      </c>
      <c r="I64" s="41"/>
      <c r="J64" s="4"/>
      <c r="K64" s="4"/>
      <c r="L64" s="5">
        <f>-1.7603*SQRT(D60)</f>
        <v>-8.623673588442456</v>
      </c>
      <c r="M64" s="6" t="s">
        <v>5</v>
      </c>
      <c r="N64" s="4"/>
      <c r="O64" s="9"/>
      <c r="P64" s="9"/>
      <c r="Q64" s="9"/>
      <c r="R64" s="9"/>
      <c r="S64" s="9"/>
      <c r="T64" s="9"/>
      <c r="U64" s="9"/>
      <c r="V64" s="8"/>
    </row>
    <row r="65" spans="1:22" ht="15.75">
      <c r="A65" s="9"/>
      <c r="B65" s="9"/>
      <c r="C65" s="9"/>
      <c r="D65" s="9"/>
      <c r="E65" s="9"/>
      <c r="F65" s="9"/>
      <c r="G65" s="9"/>
      <c r="H65" s="68" t="s">
        <v>81</v>
      </c>
      <c r="I65" s="41"/>
      <c r="J65" s="4"/>
      <c r="K65" s="4"/>
      <c r="L65" s="4">
        <f>Tables!B63</f>
        <v>-0.5</v>
      </c>
      <c r="M65" s="6" t="s">
        <v>5</v>
      </c>
      <c r="N65" s="4"/>
      <c r="O65" s="22"/>
      <c r="P65" s="9"/>
      <c r="Q65" s="9"/>
      <c r="R65" s="9"/>
      <c r="S65" s="9"/>
      <c r="T65" s="9"/>
      <c r="U65" s="9"/>
      <c r="V65" s="8"/>
    </row>
    <row r="66" spans="1:22" ht="15.75">
      <c r="A66" s="9"/>
      <c r="B66" s="9"/>
      <c r="C66" s="9"/>
      <c r="D66" s="9"/>
      <c r="E66" s="9"/>
      <c r="F66" s="9"/>
      <c r="G66" s="9"/>
      <c r="H66" s="68" t="s">
        <v>18</v>
      </c>
      <c r="I66" s="41"/>
      <c r="J66" s="4"/>
      <c r="K66" s="4"/>
      <c r="L66" s="5">
        <f>IF(D63="L",Tables!N15,-1*Tables!N15)</f>
        <v>16.3</v>
      </c>
      <c r="M66" s="6" t="s">
        <v>5</v>
      </c>
      <c r="N66" s="4"/>
      <c r="O66" s="9"/>
      <c r="P66" s="9"/>
      <c r="Q66" s="9"/>
      <c r="R66" s="9"/>
      <c r="S66" s="9"/>
      <c r="T66" s="9"/>
      <c r="U66" s="9"/>
      <c r="V66" s="8"/>
    </row>
    <row r="67" spans="1:22" ht="15.75">
      <c r="A67" s="9"/>
      <c r="B67" s="9"/>
      <c r="C67" s="9"/>
      <c r="D67" s="9"/>
      <c r="E67" s="9"/>
      <c r="F67" s="9"/>
      <c r="G67" s="9"/>
      <c r="H67" s="68" t="s">
        <v>55</v>
      </c>
      <c r="I67" s="41"/>
      <c r="J67" s="4"/>
      <c r="K67" s="4"/>
      <c r="L67" s="5">
        <f>Data!H44</f>
        <v>0.1</v>
      </c>
      <c r="M67" s="6" t="s">
        <v>5</v>
      </c>
      <c r="N67" s="4"/>
      <c r="O67" s="9"/>
      <c r="P67" s="9"/>
      <c r="Q67" s="9"/>
      <c r="R67" s="9"/>
      <c r="S67" s="9"/>
      <c r="T67" s="9"/>
      <c r="U67" s="9"/>
      <c r="V67" s="8"/>
    </row>
    <row r="68" spans="1:22" ht="15.75">
      <c r="A68" s="9"/>
      <c r="B68" s="9"/>
      <c r="C68" s="9"/>
      <c r="D68" s="9"/>
      <c r="E68" s="9"/>
      <c r="F68" s="9"/>
      <c r="G68" s="9"/>
      <c r="H68" s="69" t="s">
        <v>24</v>
      </c>
      <c r="I68" s="42"/>
      <c r="J68" s="70">
        <f>IF(SUM(L61:L67)&gt;=60,J61+1,IF(SUM(L61:L67)&lt;0,J61-1,J61))</f>
        <v>61</v>
      </c>
      <c r="K68" s="42" t="s">
        <v>47</v>
      </c>
      <c r="L68" s="2">
        <f>IF(SUM(L61:L67)&gt;=60,SUM(L61:L67)-60,IF(SUM(L61:L67)&lt;0,SUM(L61:L67)+60,SUM(L61:L67)))</f>
        <v>41.476326411557544</v>
      </c>
      <c r="M68" s="3" t="s">
        <v>5</v>
      </c>
      <c r="N68" s="1"/>
      <c r="O68" s="9"/>
      <c r="P68" s="9"/>
      <c r="Q68" s="9"/>
      <c r="R68" s="9"/>
      <c r="S68" s="9"/>
      <c r="T68" s="9"/>
      <c r="U68" s="9"/>
      <c r="V68" s="8"/>
    </row>
    <row r="69" spans="1:22" ht="15.75">
      <c r="A69" s="9"/>
      <c r="B69" s="9"/>
      <c r="C69" s="9"/>
      <c r="D69" s="9"/>
      <c r="E69" s="9"/>
      <c r="F69" s="9"/>
      <c r="G69" s="9"/>
      <c r="H69" s="72" t="s">
        <v>28</v>
      </c>
      <c r="I69" s="71"/>
      <c r="J69" s="78">
        <f>J76</f>
        <v>61</v>
      </c>
      <c r="K69" s="71" t="s">
        <v>47</v>
      </c>
      <c r="L69" s="62">
        <f>L76</f>
        <v>39.8</v>
      </c>
      <c r="M69" s="63" t="s">
        <v>5</v>
      </c>
      <c r="N69" s="61"/>
      <c r="O69" s="9"/>
      <c r="P69" s="9"/>
      <c r="Q69" s="9"/>
      <c r="R69" s="9"/>
      <c r="S69" s="9"/>
      <c r="T69" s="9"/>
      <c r="U69" s="9"/>
      <c r="V69" s="8"/>
    </row>
    <row r="70" spans="1:22" ht="15.75">
      <c r="A70" s="9"/>
      <c r="B70" s="9"/>
      <c r="C70" s="9"/>
      <c r="D70" s="9"/>
      <c r="E70" s="9"/>
      <c r="F70" s="9"/>
      <c r="G70" s="9"/>
      <c r="H70" s="68" t="s">
        <v>32</v>
      </c>
      <c r="I70" s="56" t="str">
        <f>IF(J68+L68/60-J69-L69/60&lt;0,"-"," ")</f>
        <v> </v>
      </c>
      <c r="J70" s="41">
        <f>TRUNC(J68+L68/60-J69-L69/60,0)</f>
        <v>0</v>
      </c>
      <c r="K70" s="41" t="s">
        <v>47</v>
      </c>
      <c r="L70" s="55">
        <f>ABS((J68+L68/60-J69-L69/60)-J70)*60</f>
        <v>1.6763264115576648</v>
      </c>
      <c r="M70" s="6" t="s">
        <v>5</v>
      </c>
      <c r="N70" s="41"/>
      <c r="O70" s="9"/>
      <c r="P70" s="9"/>
      <c r="Q70" s="9"/>
      <c r="R70" s="9"/>
      <c r="S70" s="9"/>
      <c r="T70" s="9"/>
      <c r="U70" s="9"/>
      <c r="V70" s="8"/>
    </row>
    <row r="71" spans="1:22" ht="15.75">
      <c r="A71" s="9"/>
      <c r="B71" s="9"/>
      <c r="C71" s="9"/>
      <c r="D71" s="9"/>
      <c r="E71" s="9"/>
      <c r="F71" s="9"/>
      <c r="G71" s="9"/>
      <c r="H71" s="83"/>
      <c r="I71" s="56"/>
      <c r="J71" s="41"/>
      <c r="K71" s="41"/>
      <c r="L71" s="41"/>
      <c r="M71" s="6"/>
      <c r="N71" s="41"/>
      <c r="O71" s="9"/>
      <c r="P71" s="9"/>
      <c r="Q71" s="9"/>
      <c r="R71" s="9"/>
      <c r="S71" s="9"/>
      <c r="T71" s="9"/>
      <c r="U71" s="9"/>
      <c r="V71" s="8"/>
    </row>
    <row r="72" spans="1:22" ht="15.75">
      <c r="A72" s="23" t="str">
        <f>A55</f>
        <v>j</v>
      </c>
      <c r="B72" s="4">
        <f>IF(D55&lt;30,B55,B55+1)</f>
        <v>44</v>
      </c>
      <c r="C72" s="41" t="s">
        <v>47</v>
      </c>
      <c r="D72" s="5">
        <f>IF(D55&lt;30,D55,D55-60)</f>
        <v>16.8</v>
      </c>
      <c r="E72" s="6" t="s">
        <v>5</v>
      </c>
      <c r="F72" s="4" t="str">
        <f>F55</f>
        <v>N</v>
      </c>
      <c r="G72" s="9"/>
      <c r="H72" s="72" t="s">
        <v>25</v>
      </c>
      <c r="I72" s="71"/>
      <c r="J72" s="61">
        <f>ROUND(TRUNC(ABS(90-Tables!$I$5),0),0)</f>
        <v>61</v>
      </c>
      <c r="K72" s="71" t="s">
        <v>47</v>
      </c>
      <c r="L72" s="61">
        <f>ROUND((ABS(90-Tables!$I$5)-$J$72)*60,1)</f>
        <v>26.8</v>
      </c>
      <c r="M72" s="63" t="s">
        <v>5</v>
      </c>
      <c r="N72" s="9"/>
      <c r="O72" s="72" t="s">
        <v>29</v>
      </c>
      <c r="P72" s="71"/>
      <c r="Q72" s="108">
        <f>IF(Tables!$J$5&lt;0,180+Tables!$J$5,Tables!$J$5)</f>
        <v>157.6</v>
      </c>
      <c r="R72" s="108"/>
      <c r="S72" s="71" t="s">
        <v>47</v>
      </c>
      <c r="T72" s="9"/>
      <c r="U72" s="9"/>
      <c r="V72" s="8"/>
    </row>
    <row r="73" spans="1:22" ht="15.75">
      <c r="A73" s="23" t="str">
        <f>O55</f>
        <v>d</v>
      </c>
      <c r="B73" s="4">
        <f>IF(S55&lt;30,Q55,Q55+1)</f>
        <v>17</v>
      </c>
      <c r="C73" s="41" t="s">
        <v>47</v>
      </c>
      <c r="D73" s="5">
        <f>IF(S55&lt;30,S55,S55-60)</f>
        <v>24.3</v>
      </c>
      <c r="E73" s="6" t="s">
        <v>5</v>
      </c>
      <c r="F73" s="4" t="str">
        <f>U55</f>
        <v>N</v>
      </c>
      <c r="G73" s="9"/>
      <c r="H73" s="23" t="s">
        <v>26</v>
      </c>
      <c r="I73" s="41"/>
      <c r="J73" s="4"/>
      <c r="K73" s="4"/>
      <c r="L73" s="5">
        <f>COS(RADIANS(Q72))*D72</f>
        <v>-15.53237336468686</v>
      </c>
      <c r="M73" s="6" t="s">
        <v>5</v>
      </c>
      <c r="N73" s="9"/>
      <c r="O73" s="23" t="s">
        <v>26</v>
      </c>
      <c r="P73" s="41"/>
      <c r="Q73" s="102">
        <f>ROUND(TAN(RADIANS(J72))*SIN(RADIANS(Q72))*RADIANS(D72),1)</f>
        <v>0.2</v>
      </c>
      <c r="R73" s="102"/>
      <c r="S73" s="41" t="s">
        <v>47</v>
      </c>
      <c r="T73" s="9"/>
      <c r="U73" s="9"/>
      <c r="V73" s="8"/>
    </row>
    <row r="74" spans="1:22" ht="15.75">
      <c r="A74" s="19" t="str">
        <f>H58</f>
        <v>t м</v>
      </c>
      <c r="B74" s="4">
        <f>IF(IF(L59=" ",L58,L59)&lt;30,IF(J59=" ",J58,J59),IF(J59=" ",J58,J59)+1)</f>
        <v>11</v>
      </c>
      <c r="C74" s="41" t="s">
        <v>47</v>
      </c>
      <c r="D74" s="5">
        <f>IF(IF(L59=" ",L58,L59)&lt;30,IF(L59=" ",L58,L59),IF(L59=" ",L58,L59)-60)</f>
        <v>-19.5</v>
      </c>
      <c r="E74" s="6" t="s">
        <v>5</v>
      </c>
      <c r="F74" s="4" t="str">
        <f>IF(N59=" ",N58,N59)</f>
        <v>E</v>
      </c>
      <c r="G74" s="9"/>
      <c r="H74" s="23" t="s">
        <v>15</v>
      </c>
      <c r="I74" s="41"/>
      <c r="J74" s="4"/>
      <c r="K74" s="4"/>
      <c r="L74" s="4">
        <f>COS(RADIANS(B75))*D73</f>
        <v>23.238205569901762</v>
      </c>
      <c r="M74" s="6" t="s">
        <v>5</v>
      </c>
      <c r="N74" s="9"/>
      <c r="O74" s="23" t="s">
        <v>15</v>
      </c>
      <c r="P74" s="41"/>
      <c r="Q74" s="102">
        <f>ROUND(-COS(RADIANS(B72))*RADIANS(D73)*POWER(SIN(RADIANS(Q72)),2)/(SIN(RADIANS(B74))*POWER(COS(RADIANS(B73)),2)),1)</f>
        <v>-0.3</v>
      </c>
      <c r="R74" s="102"/>
      <c r="S74" s="41" t="s">
        <v>47</v>
      </c>
      <c r="T74" s="9"/>
      <c r="U74" s="9"/>
      <c r="V74" s="8"/>
    </row>
    <row r="75" spans="1:22" ht="15.75">
      <c r="A75" s="19" t="s">
        <v>31</v>
      </c>
      <c r="B75" s="4">
        <f>IF(F72=F73,IF(Tables!K5&lt;0,180+Tables!K5,Tables!K5),180-IF(Tables!K5&lt;0,180+Tables!K5,Tables!K5))</f>
        <v>17</v>
      </c>
      <c r="C75" s="41" t="s">
        <v>47</v>
      </c>
      <c r="D75" s="4"/>
      <c r="E75" s="4"/>
      <c r="F75" s="4"/>
      <c r="G75" s="9"/>
      <c r="H75" s="23" t="s">
        <v>27</v>
      </c>
      <c r="I75" s="41"/>
      <c r="J75" s="4"/>
      <c r="K75" s="4"/>
      <c r="L75" s="4">
        <f>ROUND(-SIN(RADIANS(Q72))*COS(RADIANS(B72))*D74,1)</f>
        <v>5.3</v>
      </c>
      <c r="M75" s="6" t="s">
        <v>5</v>
      </c>
      <c r="N75" s="9"/>
      <c r="O75" s="23" t="s">
        <v>27</v>
      </c>
      <c r="P75" s="41"/>
      <c r="Q75" s="102">
        <f>ROUND((COS(RADIANS(B72))*TAN(RADIANS(J72))*COS(RADIANS(Q72))-SIN(RADIANS(B72)))*RADIANS(D74),1)</f>
        <v>0.6</v>
      </c>
      <c r="R75" s="102"/>
      <c r="S75" s="41" t="s">
        <v>47</v>
      </c>
      <c r="T75" s="9"/>
      <c r="U75" s="9"/>
      <c r="V75" s="8"/>
    </row>
    <row r="76" spans="1:22" ht="15.75">
      <c r="A76" s="9"/>
      <c r="B76" s="9"/>
      <c r="C76" s="9"/>
      <c r="D76" s="9"/>
      <c r="E76" s="9"/>
      <c r="F76" s="9"/>
      <c r="G76" s="9"/>
      <c r="H76" s="69" t="s">
        <v>28</v>
      </c>
      <c r="I76" s="42"/>
      <c r="J76" s="70">
        <f>IF(SUM(L72:L75)&gt;=60,J72+1,IF(SUM(L72:L75)&lt;0,J72-1,J72))</f>
        <v>61</v>
      </c>
      <c r="K76" s="42" t="s">
        <v>47</v>
      </c>
      <c r="L76" s="2">
        <f>ROUND(IF(SUM(L72:L75)&gt;=60,SUM(L72:L75)-60,IF(SUM(L72:L75)&lt;0,SUM(L72:L75)+60,SUM(L72:L75))),1)</f>
        <v>39.8</v>
      </c>
      <c r="M76" s="3" t="s">
        <v>5</v>
      </c>
      <c r="N76" s="9"/>
      <c r="O76" s="69" t="s">
        <v>30</v>
      </c>
      <c r="P76" s="42"/>
      <c r="Q76" s="99">
        <f>ROUND(SUM(Q72:R75),1)</f>
        <v>158.1</v>
      </c>
      <c r="R76" s="100"/>
      <c r="S76" s="1" t="str">
        <f>CONCATENATE(F72,F74)</f>
        <v>NE</v>
      </c>
      <c r="T76" s="9"/>
      <c r="U76" s="9"/>
      <c r="V76" s="8"/>
    </row>
    <row r="77" spans="1:22" ht="15.75">
      <c r="A77" s="9"/>
      <c r="B77" s="8"/>
      <c r="C77" s="9"/>
      <c r="D77" s="9"/>
      <c r="E77" s="9"/>
      <c r="F77" s="9"/>
      <c r="G77" s="9"/>
      <c r="H77" s="68"/>
      <c r="I77" s="41"/>
      <c r="J77" s="4"/>
      <c r="K77" s="41"/>
      <c r="L77" s="55"/>
      <c r="M77" s="41"/>
      <c r="N77" s="9"/>
      <c r="O77" s="8"/>
      <c r="P77" s="9"/>
      <c r="Q77" s="8"/>
      <c r="R77" s="8"/>
      <c r="S77" s="9"/>
      <c r="T77" s="9"/>
      <c r="U77" s="9"/>
      <c r="V77" s="8"/>
    </row>
    <row r="78" spans="1:22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8"/>
    </row>
    <row r="79" spans="1:22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8"/>
    </row>
    <row r="80" spans="1:22" ht="15.75">
      <c r="A80" s="9"/>
      <c r="B80" s="9"/>
      <c r="C80" s="9"/>
      <c r="D80" s="9"/>
      <c r="E80" s="9"/>
      <c r="F80" s="9"/>
      <c r="G80" s="9"/>
      <c r="H80" s="19" t="s">
        <v>30</v>
      </c>
      <c r="I80" s="41"/>
      <c r="J80" s="101">
        <f>IF(S76="ne",Q76,IF(S76="sw",180+Q76,IF(S76="SE",180-Q76,360-Q76)))</f>
        <v>158.1</v>
      </c>
      <c r="K80" s="101"/>
      <c r="L80" s="41" t="s">
        <v>47</v>
      </c>
      <c r="M80" s="9"/>
      <c r="N80" s="9"/>
      <c r="O80" s="9"/>
      <c r="P80" s="9"/>
      <c r="Q80" s="9"/>
      <c r="R80" s="9"/>
      <c r="S80" s="9"/>
      <c r="T80" s="9"/>
      <c r="U80" s="9"/>
      <c r="V80" s="8"/>
    </row>
    <row r="81" spans="1:22" ht="15.75">
      <c r="A81" s="9"/>
      <c r="B81" s="9"/>
      <c r="C81" s="9"/>
      <c r="D81" s="9"/>
      <c r="E81" s="9"/>
      <c r="F81" s="9"/>
      <c r="G81" s="9"/>
      <c r="H81" s="19" t="s">
        <v>32</v>
      </c>
      <c r="I81" s="41"/>
      <c r="J81" s="101">
        <f>ROUND((J68+L68/60-J69-L69/60)*60,1)</f>
        <v>1.7</v>
      </c>
      <c r="K81" s="101"/>
      <c r="L81" s="51" t="s">
        <v>64</v>
      </c>
      <c r="M81" s="9"/>
      <c r="N81" s="9"/>
      <c r="O81" s="9"/>
      <c r="P81" s="9"/>
      <c r="Q81" s="9"/>
      <c r="R81" s="9"/>
      <c r="S81" s="9"/>
      <c r="T81" s="9"/>
      <c r="U81" s="9"/>
      <c r="V81" s="8"/>
    </row>
    <row r="82" spans="1:22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8"/>
    </row>
    <row r="83" spans="1:22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8"/>
    </row>
    <row r="84" spans="1:22" ht="18.75">
      <c r="A84" s="9"/>
      <c r="B84" s="9"/>
      <c r="C84" s="9"/>
      <c r="D84" s="9"/>
      <c r="E84" s="9"/>
      <c r="F84" s="9"/>
      <c r="G84" s="109" t="s">
        <v>87</v>
      </c>
      <c r="H84" s="109"/>
      <c r="I84" s="109"/>
      <c r="J84" s="109"/>
      <c r="K84" s="109"/>
      <c r="L84" s="109"/>
      <c r="M84" s="109"/>
      <c r="N84" s="109"/>
      <c r="O84" s="109"/>
      <c r="P84" s="85"/>
      <c r="Q84" s="85"/>
      <c r="R84" s="9"/>
      <c r="S84" s="9"/>
      <c r="T84" s="9"/>
      <c r="U84" s="9"/>
      <c r="V84" s="8"/>
    </row>
    <row r="85" spans="1:22" ht="15.75">
      <c r="A85" s="9"/>
      <c r="B85" s="9"/>
      <c r="C85" s="9"/>
      <c r="D85" s="9"/>
      <c r="E85" s="9"/>
      <c r="F85" s="9"/>
      <c r="G85" s="89"/>
      <c r="H85" s="90" t="s">
        <v>1</v>
      </c>
      <c r="I85" s="89"/>
      <c r="J85" s="29">
        <f>Tables!K26</f>
        <v>44</v>
      </c>
      <c r="K85" s="91" t="s">
        <v>47</v>
      </c>
      <c r="L85" s="29">
        <f>Tables!L26</f>
        <v>16.2</v>
      </c>
      <c r="M85" s="92" t="s">
        <v>5</v>
      </c>
      <c r="N85" s="29" t="str">
        <f>Data!D28</f>
        <v>N</v>
      </c>
      <c r="O85" s="89"/>
      <c r="P85" s="85"/>
      <c r="Q85" s="85"/>
      <c r="R85" s="9"/>
      <c r="S85" s="9"/>
      <c r="T85" s="9"/>
      <c r="U85" s="9"/>
      <c r="V85" s="8"/>
    </row>
    <row r="86" spans="1:22" ht="15.75">
      <c r="A86" s="9"/>
      <c r="B86" s="9"/>
      <c r="C86" s="9"/>
      <c r="D86" s="9"/>
      <c r="E86" s="9"/>
      <c r="F86" s="9"/>
      <c r="G86" s="89"/>
      <c r="H86" s="90" t="s">
        <v>2</v>
      </c>
      <c r="I86" s="89"/>
      <c r="J86" s="29">
        <f>Tables!K27</f>
        <v>30</v>
      </c>
      <c r="K86" s="29" t="s">
        <v>47</v>
      </c>
      <c r="L86" s="29">
        <f>Tables!L27</f>
        <v>35</v>
      </c>
      <c r="M86" s="92" t="s">
        <v>5</v>
      </c>
      <c r="N86" s="29" t="str">
        <f>Data!D29</f>
        <v>W</v>
      </c>
      <c r="O86" s="89"/>
      <c r="P86" s="85"/>
      <c r="Q86" s="85"/>
      <c r="R86" s="9"/>
      <c r="S86" s="9"/>
      <c r="T86" s="9"/>
      <c r="U86" s="9"/>
      <c r="V86" s="8"/>
    </row>
    <row r="87" spans="1:22" ht="12.75">
      <c r="A87" s="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7"/>
      <c r="Q87" s="87"/>
      <c r="R87" s="8"/>
      <c r="S87" s="8"/>
      <c r="T87" s="8"/>
      <c r="U87" s="8"/>
      <c r="V87" s="8"/>
    </row>
    <row r="88" spans="1:22" ht="12.75">
      <c r="A88" s="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7"/>
      <c r="Q88" s="87"/>
      <c r="R88" s="8"/>
      <c r="S88" s="8"/>
      <c r="T88" s="8"/>
      <c r="U88" s="8"/>
      <c r="V88" s="8"/>
    </row>
    <row r="89" spans="1:22" ht="18.75">
      <c r="A89" s="8"/>
      <c r="B89" s="88"/>
      <c r="C89" s="88"/>
      <c r="D89" s="88"/>
      <c r="E89" s="88"/>
      <c r="F89" s="88"/>
      <c r="G89" s="110" t="s">
        <v>52</v>
      </c>
      <c r="H89" s="110"/>
      <c r="I89" s="110"/>
      <c r="J89" s="110"/>
      <c r="K89" s="110"/>
      <c r="L89" s="110"/>
      <c r="M89" s="110"/>
      <c r="N89" s="110"/>
      <c r="O89" s="110"/>
      <c r="P89" s="87"/>
      <c r="Q89" s="87"/>
      <c r="R89" s="8"/>
      <c r="S89" s="8"/>
      <c r="T89" s="8"/>
      <c r="U89" s="8"/>
      <c r="V89" s="8"/>
    </row>
    <row r="90" spans="1:22" ht="15.75">
      <c r="A90" s="8"/>
      <c r="B90" s="88"/>
      <c r="C90" s="88"/>
      <c r="D90" s="88"/>
      <c r="E90" s="88"/>
      <c r="F90" s="88"/>
      <c r="G90" s="93"/>
      <c r="H90" s="73" t="s">
        <v>51</v>
      </c>
      <c r="I90" s="113">
        <f>Tables!K30</f>
        <v>101.9</v>
      </c>
      <c r="J90" s="113"/>
      <c r="K90" s="44" t="s">
        <v>47</v>
      </c>
      <c r="L90" s="111" t="s">
        <v>53</v>
      </c>
      <c r="M90" s="111"/>
      <c r="N90" s="112">
        <f>Tables!L30</f>
        <v>3.1</v>
      </c>
      <c r="O90" s="112"/>
      <c r="P90" s="86" t="s">
        <v>5</v>
      </c>
      <c r="Q90" s="87"/>
      <c r="R90" s="8"/>
      <c r="S90" s="8"/>
      <c r="T90" s="8"/>
      <c r="U90" s="8"/>
      <c r="V90" s="8"/>
    </row>
    <row r="91" spans="1:22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</sheetData>
  <sheetProtection password="CC36" sheet="1" objects="1" scenarios="1"/>
  <mergeCells count="32">
    <mergeCell ref="Q27:R27"/>
    <mergeCell ref="G84:O84"/>
    <mergeCell ref="G89:O89"/>
    <mergeCell ref="L90:M90"/>
    <mergeCell ref="N90:O90"/>
    <mergeCell ref="I90:J90"/>
    <mergeCell ref="Q29:R29"/>
    <mergeCell ref="J81:K81"/>
    <mergeCell ref="Q72:R72"/>
    <mergeCell ref="Q73:R73"/>
    <mergeCell ref="AJ25:AK25"/>
    <mergeCell ref="Q25:R25"/>
    <mergeCell ref="E15:F15"/>
    <mergeCell ref="E7:F7"/>
    <mergeCell ref="B54:D54"/>
    <mergeCell ref="E54:F54"/>
    <mergeCell ref="B6:D6"/>
    <mergeCell ref="B7:D7"/>
    <mergeCell ref="J34:K34"/>
    <mergeCell ref="J33:K33"/>
    <mergeCell ref="B53:D53"/>
    <mergeCell ref="E53:F53"/>
    <mergeCell ref="B1:R1"/>
    <mergeCell ref="Q76:R76"/>
    <mergeCell ref="J80:K80"/>
    <mergeCell ref="Q74:R74"/>
    <mergeCell ref="Q75:R75"/>
    <mergeCell ref="Q26:R26"/>
    <mergeCell ref="E6:F6"/>
    <mergeCell ref="Q28:R28"/>
    <mergeCell ref="E62:F62"/>
    <mergeCell ref="B48:R48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1"/>
  <sheetViews>
    <sheetView workbookViewId="0" topLeftCell="C1">
      <selection activeCell="F10" sqref="F10"/>
    </sheetView>
  </sheetViews>
  <sheetFormatPr defaultColWidth="9.00390625" defaultRowHeight="12.75"/>
  <cols>
    <col min="1" max="1" width="7.375" style="0" customWidth="1"/>
    <col min="2" max="2" width="7.75390625" style="0" customWidth="1"/>
  </cols>
  <sheetData>
    <row r="1" spans="1:15" ht="15.75">
      <c r="A1" s="8">
        <v>10.03</v>
      </c>
      <c r="B1" s="8">
        <v>-5.2</v>
      </c>
      <c r="C1" s="8">
        <v>-5.1</v>
      </c>
      <c r="D1" s="8">
        <v>10.03</v>
      </c>
      <c r="E1" s="8"/>
      <c r="F1" s="45" t="s">
        <v>67</v>
      </c>
      <c r="G1" s="45" t="s">
        <v>68</v>
      </c>
      <c r="H1" s="80"/>
      <c r="I1" s="79" t="s">
        <v>69</v>
      </c>
      <c r="J1" s="79" t="s">
        <v>70</v>
      </c>
      <c r="K1" s="79" t="s">
        <v>71</v>
      </c>
      <c r="L1" s="8"/>
      <c r="M1" s="26">
        <v>36526</v>
      </c>
      <c r="N1" s="27">
        <v>16.3</v>
      </c>
      <c r="O1" s="8"/>
    </row>
    <row r="2" spans="1:15" ht="12.75">
      <c r="A2" s="8">
        <v>10.2</v>
      </c>
      <c r="B2" s="8">
        <v>-5.1</v>
      </c>
      <c r="C2" s="27">
        <v>-5</v>
      </c>
      <c r="D2" s="8">
        <v>10.2</v>
      </c>
      <c r="E2" s="8"/>
      <c r="F2" s="41">
        <f>IF(VLP!F25="S",-VLP!B25,VLP!B25)</f>
        <v>44</v>
      </c>
      <c r="G2" s="82">
        <f>IF(VLP!F26="S",-VLP!B26,VLP!B26)</f>
        <v>17</v>
      </c>
      <c r="H2" s="41"/>
      <c r="I2" s="8">
        <f>ACOS(COS(RADIANS(90-F2))*COS(RADIANS(90-G2))+SIN(RADIANS(90-F2))*SIN(RADIANS(90-G2))*COS(RADIANS(VLP!B27)))*57.29577951</f>
        <v>77.57836511318368</v>
      </c>
      <c r="J2" s="8">
        <f>ROUND(ATAN(1/(SIN(RADIANS(90-F2))/(SIN(RADIANS(VLP!B27))*TAN(RADIANS(90-Tables!G2)))-COS(RADIANS(90-Tables!F2))/TAN(RADIANS(VLP!B27))))*57.29577951,1)</f>
        <v>78.3</v>
      </c>
      <c r="K2" s="8">
        <f>ROUND(ATAN(1/(SIN(RADIANS(90-G2))/(SIN(RADIANS(VLP!B27))*TAN(RADIANS(90-F2)))-COS(RADIANS(90-G2))/TAN(RADIANS(VLP!B27))))*57.29577951,0)</f>
        <v>47</v>
      </c>
      <c r="L2" s="8"/>
      <c r="M2" s="26">
        <v>36560</v>
      </c>
      <c r="N2" s="27">
        <v>16.2</v>
      </c>
      <c r="O2" s="8"/>
    </row>
    <row r="3" spans="1:15" ht="12.75">
      <c r="A3" s="8">
        <v>10.4</v>
      </c>
      <c r="B3" s="27">
        <v>-5</v>
      </c>
      <c r="C3" s="8">
        <v>-4.9</v>
      </c>
      <c r="D3" s="8">
        <v>10.4</v>
      </c>
      <c r="E3" s="8"/>
      <c r="F3" s="41"/>
      <c r="G3" s="41"/>
      <c r="H3" s="41"/>
      <c r="I3" s="8"/>
      <c r="J3" s="8"/>
      <c r="K3" s="8"/>
      <c r="L3" s="8"/>
      <c r="M3" s="26">
        <v>36589</v>
      </c>
      <c r="N3" s="27">
        <v>16.1</v>
      </c>
      <c r="O3" s="8"/>
    </row>
    <row r="4" spans="1:15" ht="15.75">
      <c r="A4" s="8">
        <v>10.6</v>
      </c>
      <c r="B4" s="8">
        <v>-4.9</v>
      </c>
      <c r="C4" s="8">
        <v>-4.8</v>
      </c>
      <c r="D4" s="8">
        <v>10.6</v>
      </c>
      <c r="E4" s="8"/>
      <c r="F4" s="45" t="s">
        <v>72</v>
      </c>
      <c r="G4" s="45" t="s">
        <v>73</v>
      </c>
      <c r="H4" s="80"/>
      <c r="I4" s="79" t="s">
        <v>74</v>
      </c>
      <c r="J4" s="79" t="s">
        <v>75</v>
      </c>
      <c r="K4" s="79" t="s">
        <v>76</v>
      </c>
      <c r="L4" s="8"/>
      <c r="M4" s="26">
        <v>36612</v>
      </c>
      <c r="N4" s="27">
        <v>16</v>
      </c>
      <c r="O4" s="8"/>
    </row>
    <row r="5" spans="1:15" ht="12.75">
      <c r="A5" s="8">
        <v>10.9</v>
      </c>
      <c r="B5" s="8">
        <v>-4.8</v>
      </c>
      <c r="C5" s="27">
        <v>-4.7</v>
      </c>
      <c r="D5" s="8">
        <v>10.9</v>
      </c>
      <c r="E5" s="8"/>
      <c r="F5" s="41">
        <f>IF(VLP!F72="S",-VLP!B72,VLP!B72)</f>
        <v>44</v>
      </c>
      <c r="G5" s="82">
        <f>IF(VLP!F73="S",-VLP!B73,VLP!B73)</f>
        <v>17</v>
      </c>
      <c r="H5" s="41"/>
      <c r="I5" s="8">
        <f>ACOS(COS(RADIANS(90-F5))*COS(RADIANS(90-G5))+SIN(RADIANS(90-F5))*SIN(RADIANS(90-G5))*COS(RADIANS(VLP!B74)))*57.29577951</f>
        <v>28.553915551654185</v>
      </c>
      <c r="J5" s="8">
        <f>ROUND(ATAN(1/(SIN(RADIANS(90-F5))/(SIN(RADIANS(VLP!B74))*TAN(RADIANS(90-Tables!G5)))-COS(RADIANS(90-Tables!F5))/TAN(RADIANS(VLP!B74))))*57.29577951,1)</f>
        <v>-22.4</v>
      </c>
      <c r="K5" s="8">
        <f>ROUND(ATAN(1/(SIN(RADIANS(90-G5))/(SIN(RADIANS(VLP!B74))*TAN(RADIANS(90-F5)))-COS(RADIANS(90-G5))/TAN(RADIANS(VLP!B74))))*57.29577951,0)</f>
        <v>17</v>
      </c>
      <c r="L5" s="8"/>
      <c r="M5" s="26">
        <v>36634</v>
      </c>
      <c r="N5" s="27">
        <v>15.9</v>
      </c>
      <c r="O5" s="8"/>
    </row>
    <row r="6" spans="1:15" ht="12.75">
      <c r="A6" s="8">
        <v>11.1</v>
      </c>
      <c r="B6" s="27">
        <v>-4.7</v>
      </c>
      <c r="C6" s="8">
        <v>-4.6</v>
      </c>
      <c r="D6" s="8">
        <v>11.1</v>
      </c>
      <c r="E6" s="8"/>
      <c r="F6" s="8"/>
      <c r="G6" s="8"/>
      <c r="H6" s="8"/>
      <c r="I6" s="8"/>
      <c r="J6" s="8"/>
      <c r="K6" s="8"/>
      <c r="L6" s="8"/>
      <c r="M6" s="26">
        <v>36659</v>
      </c>
      <c r="N6" s="27">
        <v>15.8</v>
      </c>
      <c r="O6" s="8"/>
    </row>
    <row r="7" spans="1:15" ht="12.75">
      <c r="A7" s="8">
        <v>11.4</v>
      </c>
      <c r="B7" s="8">
        <v>-4.6</v>
      </c>
      <c r="C7" s="8">
        <v>-4.5</v>
      </c>
      <c r="D7" s="8">
        <v>11.4</v>
      </c>
      <c r="E7" s="8"/>
      <c r="F7" s="8"/>
      <c r="G7" s="8"/>
      <c r="H7" s="8"/>
      <c r="I7" s="8"/>
      <c r="J7" s="8"/>
      <c r="K7" s="8"/>
      <c r="L7" s="8"/>
      <c r="M7" s="26">
        <v>36762</v>
      </c>
      <c r="N7" s="27">
        <v>15.9</v>
      </c>
      <c r="O7" s="8"/>
    </row>
    <row r="8" spans="1:15" ht="12.75">
      <c r="A8" s="8">
        <v>11.6</v>
      </c>
      <c r="B8" s="8">
        <v>-4.5</v>
      </c>
      <c r="C8" s="27">
        <v>-4.4</v>
      </c>
      <c r="D8" s="8">
        <v>11.6</v>
      </c>
      <c r="E8" s="8"/>
      <c r="F8" s="8"/>
      <c r="G8" s="8"/>
      <c r="H8" s="8"/>
      <c r="I8" s="8"/>
      <c r="J8" s="8"/>
      <c r="K8" s="8"/>
      <c r="L8" s="8"/>
      <c r="M8" s="26">
        <v>36787</v>
      </c>
      <c r="N8" s="27">
        <v>16</v>
      </c>
      <c r="O8" s="8"/>
    </row>
    <row r="9" spans="1:15" ht="12.75">
      <c r="A9" s="8">
        <v>11.9</v>
      </c>
      <c r="B9" s="27">
        <v>-4.4</v>
      </c>
      <c r="C9" s="8">
        <v>-4.3</v>
      </c>
      <c r="D9" s="8">
        <v>11.9</v>
      </c>
      <c r="E9" s="8"/>
      <c r="F9" s="8"/>
      <c r="G9" s="8"/>
      <c r="H9" s="8"/>
      <c r="I9" s="8"/>
      <c r="J9" s="8"/>
      <c r="K9" s="8"/>
      <c r="L9" s="8"/>
      <c r="M9" s="26">
        <v>36809</v>
      </c>
      <c r="N9" s="27">
        <v>16.1</v>
      </c>
      <c r="O9" s="8"/>
    </row>
    <row r="10" spans="1:15" ht="12.75">
      <c r="A10" s="8">
        <v>12.2</v>
      </c>
      <c r="B10" s="8">
        <v>-4.3</v>
      </c>
      <c r="C10" s="8">
        <v>-4.2</v>
      </c>
      <c r="D10" s="8">
        <v>12.2</v>
      </c>
      <c r="E10" s="8"/>
      <c r="F10" s="8"/>
      <c r="G10" s="8"/>
      <c r="H10" s="8"/>
      <c r="I10" s="8"/>
      <c r="J10" s="8"/>
      <c r="K10" s="8"/>
      <c r="L10" s="8"/>
      <c r="M10" s="26">
        <v>36832</v>
      </c>
      <c r="N10" s="27">
        <v>16.2</v>
      </c>
      <c r="O10" s="8"/>
    </row>
    <row r="11" spans="1:15" ht="12.75">
      <c r="A11" s="8">
        <v>12.4</v>
      </c>
      <c r="B11" s="8">
        <v>-4.2</v>
      </c>
      <c r="C11" s="27">
        <v>-4.1</v>
      </c>
      <c r="D11" s="8">
        <v>12.4</v>
      </c>
      <c r="E11" s="8"/>
      <c r="F11" s="8"/>
      <c r="G11" s="8"/>
      <c r="H11" s="8"/>
      <c r="I11" s="8"/>
      <c r="J11" s="8"/>
      <c r="K11" s="8"/>
      <c r="L11" s="8"/>
      <c r="M11" s="26">
        <v>36861</v>
      </c>
      <c r="N11" s="27">
        <v>16.3</v>
      </c>
      <c r="O11" s="8"/>
    </row>
    <row r="12" spans="1:15" ht="12.75">
      <c r="A12" s="8">
        <v>12.8</v>
      </c>
      <c r="B12" s="27">
        <v>-4.1</v>
      </c>
      <c r="C12" s="8">
        <v>-4</v>
      </c>
      <c r="D12" s="8">
        <v>12.8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5.75">
      <c r="A13" s="8">
        <v>13.1</v>
      </c>
      <c r="B13" s="8">
        <v>-4</v>
      </c>
      <c r="C13" s="8">
        <v>-3.9</v>
      </c>
      <c r="D13" s="8">
        <v>13.1</v>
      </c>
      <c r="E13" s="8"/>
      <c r="F13" s="8"/>
      <c r="G13" s="8"/>
      <c r="H13" s="8"/>
      <c r="I13" s="8"/>
      <c r="J13" s="8"/>
      <c r="K13" s="8"/>
      <c r="L13" s="81" t="s">
        <v>83</v>
      </c>
      <c r="M13" s="26">
        <f>VLP!B6</f>
        <v>38567</v>
      </c>
      <c r="N13" s="8">
        <f>VLOOKUP(M13,$M$1:$N$11,2)</f>
        <v>16.3</v>
      </c>
      <c r="O13" s="8"/>
    </row>
    <row r="14" spans="1:15" ht="12.75">
      <c r="A14" s="8">
        <v>13.4</v>
      </c>
      <c r="B14" s="8">
        <v>-3.9</v>
      </c>
      <c r="C14" s="27">
        <v>-3.8</v>
      </c>
      <c r="D14" s="8">
        <v>13.4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5.75">
      <c r="A15" s="8">
        <v>13.7</v>
      </c>
      <c r="B15" s="27">
        <v>-3.8</v>
      </c>
      <c r="C15" s="8">
        <v>-3.7</v>
      </c>
      <c r="D15" s="8">
        <v>13.7</v>
      </c>
      <c r="E15" s="8"/>
      <c r="F15" s="8"/>
      <c r="G15" s="8"/>
      <c r="H15" s="8"/>
      <c r="I15" s="8"/>
      <c r="J15" s="8"/>
      <c r="K15" s="8"/>
      <c r="L15" s="81" t="s">
        <v>84</v>
      </c>
      <c r="M15" s="26">
        <f>VLP!B53</f>
        <v>38567</v>
      </c>
      <c r="N15" s="8">
        <f>VLOOKUP(M15,$M$1:$N$11,2)</f>
        <v>16.3</v>
      </c>
      <c r="O15" s="8"/>
    </row>
    <row r="16" spans="1:16" ht="12.75">
      <c r="A16" s="8">
        <v>14.1</v>
      </c>
      <c r="B16" s="8">
        <v>-3.7</v>
      </c>
      <c r="C16" s="8">
        <v>-3.6</v>
      </c>
      <c r="D16" s="8">
        <v>14.1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2.75">
      <c r="A17" s="8">
        <v>14.5</v>
      </c>
      <c r="B17" s="8">
        <v>-3.6</v>
      </c>
      <c r="C17" s="27">
        <v>-3.5</v>
      </c>
      <c r="D17" s="8">
        <v>14.5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5.75">
      <c r="A18" s="8">
        <v>14.9</v>
      </c>
      <c r="B18" s="27">
        <v>-3.5</v>
      </c>
      <c r="C18" s="8">
        <v>-3.4</v>
      </c>
      <c r="D18" s="8">
        <v>14.9</v>
      </c>
      <c r="E18" s="8"/>
      <c r="F18" s="8"/>
      <c r="G18" s="81" t="s">
        <v>77</v>
      </c>
      <c r="H18" s="8">
        <f>VLP!J33</f>
        <v>78.1</v>
      </c>
      <c r="I18" s="8"/>
      <c r="J18" s="81" t="s">
        <v>79</v>
      </c>
      <c r="K18" s="8">
        <f>VLP!J34</f>
        <v>2.8</v>
      </c>
      <c r="L18" s="8"/>
      <c r="M18" s="8"/>
      <c r="N18" s="8"/>
      <c r="O18" s="8"/>
      <c r="P18" s="8"/>
    </row>
    <row r="19" spans="1:16" ht="15.75">
      <c r="A19" s="8">
        <v>15.3</v>
      </c>
      <c r="B19" s="8">
        <v>-3.4</v>
      </c>
      <c r="C19" s="27">
        <v>-3.3</v>
      </c>
      <c r="D19" s="8">
        <v>15.3</v>
      </c>
      <c r="E19" s="8"/>
      <c r="F19" s="8"/>
      <c r="G19" s="81" t="s">
        <v>78</v>
      </c>
      <c r="H19" s="8">
        <f>VLP!J80</f>
        <v>158.1</v>
      </c>
      <c r="I19" s="8"/>
      <c r="J19" s="81" t="s">
        <v>80</v>
      </c>
      <c r="K19" s="8">
        <f>VLP!J81</f>
        <v>1.7</v>
      </c>
      <c r="L19" s="8"/>
      <c r="M19" s="8"/>
      <c r="N19" s="8"/>
      <c r="O19" s="8"/>
      <c r="P19" s="8"/>
    </row>
    <row r="20" spans="1:16" ht="12.75">
      <c r="A20" s="8">
        <v>15.7</v>
      </c>
      <c r="B20" s="27">
        <v>-3.3</v>
      </c>
      <c r="C20" s="8">
        <v>-3.2</v>
      </c>
      <c r="D20" s="8">
        <v>15.7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2.75">
      <c r="A21" s="8">
        <v>16.2</v>
      </c>
      <c r="B21" s="8">
        <v>-3.2</v>
      </c>
      <c r="C21" s="8">
        <v>-3.1</v>
      </c>
      <c r="D21" s="8">
        <v>16.2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2.75">
      <c r="A22" s="8">
        <v>16.7</v>
      </c>
      <c r="B22" s="8">
        <v>-3.1</v>
      </c>
      <c r="C22" s="27">
        <v>-3</v>
      </c>
      <c r="D22" s="8">
        <v>16.7</v>
      </c>
      <c r="E22" s="8"/>
      <c r="F22" s="8"/>
      <c r="G22" s="8"/>
      <c r="H22" s="8"/>
      <c r="I22" s="8"/>
      <c r="J22" s="74" t="s">
        <v>50</v>
      </c>
      <c r="K22" s="8">
        <f>(K18*SIN(RADIANS(H19))-K19*SIN(RADIANS(H18)))/(COS(RADIANS(H18))*SIN(RADIANS(H19))-COS(RADIANS(H19))*SIN(RADIANS(H18)))</f>
        <v>-0.6286500909107718</v>
      </c>
      <c r="L22" s="8"/>
      <c r="M22" s="8">
        <f>Data!B28*60+Data!C28+IF(Data!D28="s",-Tables!K22,Tables!K22)</f>
        <v>2656.1713499090893</v>
      </c>
      <c r="N22" s="8">
        <f>M22/60</f>
        <v>44.26952249848482</v>
      </c>
      <c r="O22" s="8"/>
      <c r="P22" s="8"/>
    </row>
    <row r="23" spans="1:16" ht="12.75">
      <c r="A23" s="8">
        <v>17.2</v>
      </c>
      <c r="B23" s="27">
        <v>-3</v>
      </c>
      <c r="C23" s="8">
        <v>-2.9</v>
      </c>
      <c r="D23" s="8">
        <v>17.2</v>
      </c>
      <c r="E23" s="8"/>
      <c r="F23" s="8"/>
      <c r="G23" s="8"/>
      <c r="H23" s="8"/>
      <c r="I23" s="8"/>
      <c r="J23" s="74" t="s">
        <v>49</v>
      </c>
      <c r="K23" s="8">
        <f>(K19*COS(RADIANS(H18))-K18*COS(RADIANS(H19)))/(COS(RADIANS(H18))*SIN(RADIANS(H19))-COS(RADIANS(H19))*SIN(RADIANS(H18)))</f>
        <v>2.993973815775489</v>
      </c>
      <c r="L23" s="8"/>
      <c r="M23" s="8">
        <f>M22-K22/2</f>
        <v>2656.4856749545447</v>
      </c>
      <c r="N23" s="8">
        <f>RADIANS(M23/60)</f>
        <v>0.7727403593336778</v>
      </c>
      <c r="O23" s="8"/>
      <c r="P23" s="8"/>
    </row>
    <row r="24" spans="1:16" ht="12.75">
      <c r="A24" s="8">
        <v>17.8</v>
      </c>
      <c r="B24" s="8">
        <v>-2.9</v>
      </c>
      <c r="C24" s="8">
        <v>-2.8</v>
      </c>
      <c r="D24" s="8">
        <v>17.8</v>
      </c>
      <c r="E24" s="8"/>
      <c r="F24" s="8"/>
      <c r="G24" s="8"/>
      <c r="H24" s="8"/>
      <c r="I24" s="8"/>
      <c r="J24" s="8"/>
      <c r="K24" s="8"/>
      <c r="L24" s="8"/>
      <c r="M24" s="8">
        <f>K23/COS(N23)</f>
        <v>4.1815258319287905</v>
      </c>
      <c r="N24" s="8">
        <f>Data!B29*60+Data!C29+IF(Data!D29="w",-Tables!M24,Tables!M24)</f>
        <v>1835.0184741680712</v>
      </c>
      <c r="O24" s="8">
        <f>N24/60</f>
        <v>30.58364123613452</v>
      </c>
      <c r="P24" s="8"/>
    </row>
    <row r="25" spans="1:16" ht="12.75">
      <c r="A25" s="8">
        <v>18.4</v>
      </c>
      <c r="B25" s="8">
        <v>-2.8</v>
      </c>
      <c r="C25" s="27">
        <v>-2.7</v>
      </c>
      <c r="D25" s="8">
        <v>18.4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5.75">
      <c r="A26" s="8">
        <v>19</v>
      </c>
      <c r="B26" s="27">
        <v>-2.7</v>
      </c>
      <c r="C26" s="8">
        <v>-2.6</v>
      </c>
      <c r="D26" s="8">
        <v>19</v>
      </c>
      <c r="E26" s="8"/>
      <c r="F26" s="8"/>
      <c r="G26" s="8"/>
      <c r="H26" s="8"/>
      <c r="I26" s="8"/>
      <c r="J26" s="75" t="s">
        <v>1</v>
      </c>
      <c r="K26" s="8">
        <f>ROUNDDOWN(N22,0)</f>
        <v>44</v>
      </c>
      <c r="L26" s="8">
        <f>ROUND((N22-K26)*60,1)</f>
        <v>16.2</v>
      </c>
      <c r="M26" s="8"/>
      <c r="N26" s="8"/>
      <c r="O26" s="8"/>
      <c r="P26" s="8"/>
    </row>
    <row r="27" spans="1:16" ht="15.75">
      <c r="A27" s="8">
        <v>19.6</v>
      </c>
      <c r="B27" s="8">
        <v>-2.6</v>
      </c>
      <c r="C27" s="27">
        <v>-2.5</v>
      </c>
      <c r="D27" s="8">
        <v>19.6</v>
      </c>
      <c r="E27" s="8"/>
      <c r="F27" s="8"/>
      <c r="G27" s="8"/>
      <c r="H27" s="8"/>
      <c r="I27" s="8"/>
      <c r="J27" s="75" t="s">
        <v>2</v>
      </c>
      <c r="K27" s="8">
        <f>ROUNDDOWN(O24,0)</f>
        <v>30</v>
      </c>
      <c r="L27" s="8">
        <f>ROUND((O24-K27)*60,1)</f>
        <v>35</v>
      </c>
      <c r="M27" s="8"/>
      <c r="N27" s="8"/>
      <c r="O27" s="8"/>
      <c r="P27" s="8"/>
    </row>
    <row r="28" spans="1:16" ht="12.75">
      <c r="A28" s="8">
        <v>20.4</v>
      </c>
      <c r="B28" s="27">
        <v>-2.5</v>
      </c>
      <c r="C28" s="8">
        <v>-2.4</v>
      </c>
      <c r="D28" s="8">
        <v>20.4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2.75">
      <c r="A29" s="8">
        <v>21.1</v>
      </c>
      <c r="B29" s="8">
        <v>-2.4</v>
      </c>
      <c r="C29" s="8">
        <v>-2.3</v>
      </c>
      <c r="D29" s="8">
        <v>21.1</v>
      </c>
      <c r="E29" s="8"/>
      <c r="F29" s="8"/>
      <c r="G29" s="8"/>
      <c r="H29" s="8"/>
      <c r="I29" s="8"/>
      <c r="J29" s="8"/>
      <c r="K29" s="8">
        <f>ABS(DEGREES(ATAN(K23/K22)))</f>
        <v>78.14176802388198</v>
      </c>
      <c r="L29" s="8"/>
      <c r="M29" s="8"/>
      <c r="N29" s="8"/>
      <c r="O29" s="8"/>
      <c r="P29" s="8"/>
    </row>
    <row r="30" spans="1:16" ht="15.75">
      <c r="A30" s="8">
        <v>21.9</v>
      </c>
      <c r="B30" s="8">
        <v>-2.3</v>
      </c>
      <c r="C30" s="27">
        <v>-2.2</v>
      </c>
      <c r="D30" s="8">
        <v>21.9</v>
      </c>
      <c r="E30" s="8"/>
      <c r="F30" s="8"/>
      <c r="G30" s="8"/>
      <c r="H30" s="8"/>
      <c r="I30" s="8"/>
      <c r="J30" s="84" t="s">
        <v>51</v>
      </c>
      <c r="K30" s="8">
        <f>ROUND(IF(K23&gt;0,IF(K22&gt;0,K29,180-K29),IF(K22&gt;0,360-K29,180+K29)),1)</f>
        <v>101.9</v>
      </c>
      <c r="L30" s="27">
        <f>ROUND(SQRT(K22*K22+K23*K23),1)</f>
        <v>3.1</v>
      </c>
      <c r="M30" s="8"/>
      <c r="N30" s="8"/>
      <c r="O30" s="8"/>
      <c r="P30" s="8"/>
    </row>
    <row r="31" spans="1:16" ht="12.75">
      <c r="A31" s="8">
        <v>22.8</v>
      </c>
      <c r="B31" s="27">
        <v>-2.2</v>
      </c>
      <c r="C31" s="8">
        <v>-2.1</v>
      </c>
      <c r="D31" s="8">
        <v>22.8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2.75">
      <c r="A32" s="8">
        <v>23.8</v>
      </c>
      <c r="B32" s="8">
        <v>-2.1</v>
      </c>
      <c r="C32" s="8">
        <v>-2</v>
      </c>
      <c r="D32" s="8">
        <v>23.8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5" ht="12.75">
      <c r="A33" s="8">
        <v>24.8</v>
      </c>
      <c r="B33" s="8">
        <v>-2</v>
      </c>
      <c r="C33" s="27">
        <v>-1.9</v>
      </c>
      <c r="D33" s="8">
        <v>24.8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2.75">
      <c r="A34" s="8">
        <v>25.9</v>
      </c>
      <c r="B34" s="27">
        <v>-1.9</v>
      </c>
      <c r="C34" s="8">
        <v>-1.8</v>
      </c>
      <c r="D34" s="8">
        <v>25.9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12.75">
      <c r="A35" s="8">
        <v>27.2</v>
      </c>
      <c r="B35" s="8">
        <v>-1.8</v>
      </c>
      <c r="C35" s="27">
        <v>-1.7</v>
      </c>
      <c r="D35" s="8">
        <v>27.2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2.75">
      <c r="A36" s="8">
        <v>28.5</v>
      </c>
      <c r="B36" s="27">
        <v>-1.7</v>
      </c>
      <c r="C36" s="8">
        <v>-1.6</v>
      </c>
      <c r="D36" s="8">
        <v>28.5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2.75">
      <c r="A37" s="8">
        <v>29.9</v>
      </c>
      <c r="B37" s="8">
        <v>-1.6</v>
      </c>
      <c r="C37" s="8">
        <v>-1.5</v>
      </c>
      <c r="D37" s="8">
        <v>29.9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2.75">
      <c r="A38" s="8">
        <v>31.5</v>
      </c>
      <c r="B38" s="8">
        <v>-1.5</v>
      </c>
      <c r="C38" s="27">
        <v>-1.4</v>
      </c>
      <c r="D38" s="8">
        <v>31.5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2.75">
      <c r="A39" s="8">
        <v>33.3</v>
      </c>
      <c r="B39" s="27">
        <v>-1.4</v>
      </c>
      <c r="C39" s="8">
        <v>-1.3</v>
      </c>
      <c r="D39" s="8">
        <v>33.3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2.75">
      <c r="A40" s="8">
        <v>35.2</v>
      </c>
      <c r="B40" s="8">
        <v>-1.3</v>
      </c>
      <c r="C40" s="8">
        <v>-1.2</v>
      </c>
      <c r="D40" s="8">
        <v>35.2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ht="12.75">
      <c r="A41" s="8">
        <v>37.3</v>
      </c>
      <c r="B41" s="8">
        <v>-1.2</v>
      </c>
      <c r="C41" s="27">
        <v>-1.1</v>
      </c>
      <c r="D41" s="8">
        <v>37.3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12.75">
      <c r="A42" s="8">
        <v>39.7</v>
      </c>
      <c r="B42" s="27">
        <v>-1.1</v>
      </c>
      <c r="C42" s="8">
        <v>-1</v>
      </c>
      <c r="D42" s="8">
        <v>39.7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12.75">
      <c r="A43" s="8">
        <v>42.4</v>
      </c>
      <c r="B43" s="8">
        <v>-1</v>
      </c>
      <c r="C43" s="27">
        <v>-0.9</v>
      </c>
      <c r="D43" s="8">
        <v>42.4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12.75">
      <c r="A44" s="8">
        <v>45.4</v>
      </c>
      <c r="B44" s="27">
        <v>-0.9</v>
      </c>
      <c r="C44" s="8">
        <v>-0.8</v>
      </c>
      <c r="D44" s="8">
        <v>45.4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ht="12.75">
      <c r="A45" s="8">
        <v>48.8</v>
      </c>
      <c r="B45" s="8">
        <v>-0.8</v>
      </c>
      <c r="C45" s="8">
        <v>-0.7</v>
      </c>
      <c r="D45" s="8">
        <v>48.8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2.75">
      <c r="A46" s="8">
        <v>52.6</v>
      </c>
      <c r="B46" s="8">
        <v>-0.7</v>
      </c>
      <c r="C46" s="27">
        <v>-0.6</v>
      </c>
      <c r="D46" s="8">
        <v>52.6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ht="12.75">
      <c r="A47" s="8">
        <v>56.9</v>
      </c>
      <c r="B47" s="27">
        <v>-0.6</v>
      </c>
      <c r="C47" s="8">
        <v>-0.5</v>
      </c>
      <c r="D47" s="8">
        <v>56.9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ht="12.75">
      <c r="A48" s="8">
        <v>61.5</v>
      </c>
      <c r="B48" s="8">
        <v>-0.5</v>
      </c>
      <c r="C48" s="8">
        <v>-0.4</v>
      </c>
      <c r="D48" s="8">
        <v>61.5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12.75">
      <c r="A49" s="8">
        <v>67.2</v>
      </c>
      <c r="B49" s="8">
        <v>-0.4</v>
      </c>
      <c r="C49" s="27">
        <v>-0.3</v>
      </c>
      <c r="D49" s="8">
        <v>67.2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2.75">
      <c r="A50" s="8">
        <v>72.9</v>
      </c>
      <c r="B50" s="27">
        <v>-0.3</v>
      </c>
      <c r="C50" s="8">
        <v>-0.2</v>
      </c>
      <c r="D50" s="8">
        <v>72.9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12.75">
      <c r="A51" s="8">
        <v>78.9</v>
      </c>
      <c r="B51" s="8">
        <v>-0.2</v>
      </c>
      <c r="C51" s="27">
        <v>-0.1</v>
      </c>
      <c r="D51" s="8">
        <v>78.9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2.75">
      <c r="A52" s="8">
        <v>86.2</v>
      </c>
      <c r="B52" s="27">
        <v>-0.1</v>
      </c>
      <c r="C52" s="8">
        <v>0</v>
      </c>
      <c r="D52" s="8">
        <v>86.2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ht="12.75">
      <c r="A53" s="8">
        <v>90</v>
      </c>
      <c r="B53" s="8">
        <v>0</v>
      </c>
      <c r="C53" s="8">
        <v>0</v>
      </c>
      <c r="D53" s="8">
        <v>90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12.75">
      <c r="A55" s="27">
        <f>VLOOKUP(A57,$A$1:$B$53,1)</f>
        <v>12.8</v>
      </c>
      <c r="B55" s="8">
        <f>VLOOKUP(A55,$A$1:$B$53,2)</f>
        <v>-4.1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ht="12.75">
      <c r="A56" s="8">
        <f>VLOOKUP(B56,$B$1:$D$53,3)</f>
        <v>13.1</v>
      </c>
      <c r="B56" s="8">
        <f>VLOOKUP(A55,$A$1:$C$53,3)</f>
        <v>-4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ht="12.75">
      <c r="A57" s="27">
        <f>ROUND(VLP!J14+VLP!L14/60,1)</f>
        <v>12.9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ht="15.75">
      <c r="A58" s="79" t="s">
        <v>65</v>
      </c>
      <c r="B58" s="8">
        <f>IF(A57-A55&gt;A56-A57,B56,B55)</f>
        <v>-4.1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ht="12.75">
      <c r="A60" s="27">
        <f>VLOOKUP(A62,$A$1:$B$53,1)</f>
        <v>61.5</v>
      </c>
      <c r="B60" s="8">
        <f>VLOOKUP(A60,$A$1:$B$53,2)</f>
        <v>-0.5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ht="12.75">
      <c r="A61" s="8">
        <f>VLOOKUP(B61,$B$1:$D$53,3)</f>
        <v>67.2</v>
      </c>
      <c r="B61" s="8">
        <f>VLOOKUP(A60,$A$1:$C$53,3)</f>
        <v>-0.4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ht="12.75">
      <c r="A62" s="27">
        <f>ROUND(VLP!J61+VLP!L61/60,1)</f>
        <v>61.6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ht="15.75">
      <c r="A63" s="79" t="s">
        <v>66</v>
      </c>
      <c r="B63" s="8">
        <f>IF(A62-A60&gt;A61-A62,B61,B60)</f>
        <v>-0.5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2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</sheetData>
  <sheetProtection password="CC36" sheet="1" objects="1" scenarios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Novoship (UK)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Kapitan Stankov</dc:creator>
  <cp:keywords/>
  <dc:description/>
  <cp:lastModifiedBy>martin</cp:lastModifiedBy>
  <cp:lastPrinted>2005-08-03T12:52:10Z</cp:lastPrinted>
  <dcterms:created xsi:type="dcterms:W3CDTF">2000-09-08T17:44:21Z</dcterms:created>
  <dcterms:modified xsi:type="dcterms:W3CDTF">2005-08-03T12:58:23Z</dcterms:modified>
  <cp:category/>
  <cp:version/>
  <cp:contentType/>
  <cp:contentStatus/>
</cp:coreProperties>
</file>