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923" activeTab="0"/>
  </bookViews>
  <sheets>
    <sheet name="Computed Alt-Az-G.Err-Dev" sheetId="1" r:id="rId1"/>
    <sheet name="Sunrise-Sunset-Twilight" sheetId="2" r:id="rId2"/>
    <sheet name="Time of Meridian Passage" sheetId="3" r:id="rId3"/>
    <sheet name="Sun's Altitude @ Meridian Trans" sheetId="4" r:id="rId4"/>
    <sheet name="Latitude @ Meridian Transit" sheetId="5" r:id="rId5"/>
    <sheet name="Longitude @ Meridian Transit" sheetId="6" r:id="rId6"/>
  </sheets>
  <definedNames/>
  <calcPr fullCalcOnLoad="1"/>
</workbook>
</file>

<file path=xl/sharedStrings.xml><?xml version="1.0" encoding="utf-8"?>
<sst xmlns="http://schemas.openxmlformats.org/spreadsheetml/2006/main" count="153" uniqueCount="98">
  <si>
    <t>NAME OF CELESTIAL BODY</t>
  </si>
  <si>
    <t>hrs</t>
  </si>
  <si>
    <t>min</t>
  </si>
  <si>
    <t>sec</t>
  </si>
  <si>
    <t>UTC</t>
  </si>
  <si>
    <t>UTC @ Time of Observation</t>
  </si>
  <si>
    <t>Deg</t>
  </si>
  <si>
    <t>Min</t>
  </si>
  <si>
    <t>N/S</t>
  </si>
  <si>
    <t>LATITUDE</t>
  </si>
  <si>
    <t>LONGITUDE</t>
  </si>
  <si>
    <t>T/GHA</t>
  </si>
  <si>
    <t>T/DECL</t>
  </si>
  <si>
    <t>LONG</t>
  </si>
  <si>
    <t>LHA/SHA</t>
  </si>
  <si>
    <t>T/ALT</t>
  </si>
  <si>
    <t>LAT</t>
  </si>
  <si>
    <t>T/AZIMUTH</t>
  </si>
  <si>
    <t>N</t>
  </si>
  <si>
    <t>Observed  Bearing</t>
  </si>
  <si>
    <t>True  Bearing</t>
  </si>
  <si>
    <t>Gyro Error</t>
  </si>
  <si>
    <t>Gyro Course</t>
  </si>
  <si>
    <t>True Course</t>
  </si>
  <si>
    <t>Magnetic Course</t>
  </si>
  <si>
    <t>Total Error</t>
  </si>
  <si>
    <t>Variation</t>
  </si>
  <si>
    <t>DEVIATION</t>
  </si>
  <si>
    <t>Variation (E + / W -)</t>
  </si>
  <si>
    <t>COMPUTED ALTITUDE / TRUE AZIMUTH /  GYRO ERROR / DEVIATION /  INTERCEPT</t>
  </si>
  <si>
    <t>Compass Course</t>
  </si>
  <si>
    <t>Deviation</t>
  </si>
  <si>
    <t>TRUE COURSE</t>
  </si>
  <si>
    <t>Magnetic /corrected</t>
  </si>
  <si>
    <t>Gyro Err / Deviation / Correcting Course</t>
  </si>
  <si>
    <t>Sextant Altitude (Hs)</t>
  </si>
  <si>
    <t xml:space="preserve">Index Error </t>
  </si>
  <si>
    <t>(1) in positive(+) or negative(-) value</t>
  </si>
  <si>
    <t>Height of eye (He) in mtrs</t>
  </si>
  <si>
    <t>Dip (D)=0.293(sqrt He)</t>
  </si>
  <si>
    <t>Apparent Alt (Ha)=Hs + 1-D</t>
  </si>
  <si>
    <t>Temperature(T) in deg Celsius</t>
  </si>
  <si>
    <t>Barometric pressure (P)in mbs</t>
  </si>
  <si>
    <t xml:space="preserve">Refraction </t>
  </si>
  <si>
    <t>R=.0167/tan(Ha+7.31/(Ha+4.4))</t>
  </si>
  <si>
    <t>Ho (Observed Altitude)=Ha-R</t>
  </si>
  <si>
    <t>C</t>
  </si>
  <si>
    <t>mbs</t>
  </si>
  <si>
    <t>mtrs</t>
  </si>
  <si>
    <t>True Altitude</t>
  </si>
  <si>
    <t>Observed Altitude</t>
  </si>
  <si>
    <t>deg</t>
  </si>
  <si>
    <t xml:space="preserve">(No SHA if Sun &amp; Moon) </t>
  </si>
  <si>
    <t>If Stars &amp; Planets take fm the pt of Aries</t>
  </si>
  <si>
    <t>True Bearing   =</t>
  </si>
  <si>
    <r>
      <t>Intercept</t>
    </r>
    <r>
      <rPr>
        <sz val="8"/>
        <color indexed="10"/>
        <rFont val="Arial"/>
        <family val="2"/>
      </rPr>
      <t xml:space="preserve"> (in n.miles)</t>
    </r>
  </si>
  <si>
    <t>SUNRISE / SUNSET &amp; TWILIGHT</t>
  </si>
  <si>
    <t>w</t>
  </si>
  <si>
    <t>ZONE DESCRIPTION</t>
  </si>
  <si>
    <t>(W-, E+)</t>
  </si>
  <si>
    <t>HIGHER LATITUDE</t>
  </si>
  <si>
    <t>LOWER LATITUDE</t>
  </si>
  <si>
    <t>SHIP'S TIME</t>
  </si>
  <si>
    <t>Parallax in Alt PA=Hp x cosHa</t>
  </si>
  <si>
    <t>Gyro Error        =</t>
  </si>
  <si>
    <t>TIME OF MERIDIAN PASSAGE</t>
  </si>
  <si>
    <t>DR LONGITUDE</t>
  </si>
  <si>
    <t>EQUATION OF TIME</t>
  </si>
  <si>
    <t>Semi-diamter</t>
  </si>
  <si>
    <t>(ALL IN "UPPER LIMB" ONLY)</t>
  </si>
  <si>
    <t>Horizontal parallax(fm Naut.Al)</t>
  </si>
  <si>
    <t>Is equation of time shaded? (Y or N)</t>
  </si>
  <si>
    <t>ZONE DESCRIPTION (E+, W-)</t>
  </si>
  <si>
    <t>UTC OF MERIDIAN PASSAGE</t>
  </si>
  <si>
    <t>LMT OF MERIDIAN PASSAGE</t>
  </si>
  <si>
    <t>W/E</t>
  </si>
  <si>
    <t>SUN'S ALTITUDE AT MERIDIAN TRANSIT</t>
  </si>
  <si>
    <t>DR LATITUDE</t>
  </si>
  <si>
    <t>DECLINATION</t>
  </si>
  <si>
    <t>Is Sun bearing North or South? (N or S)</t>
  </si>
  <si>
    <t>Sun's Altitude @ Meridian Passage</t>
  </si>
  <si>
    <t>S</t>
  </si>
  <si>
    <t>LATITUDE AT SUN'S MERIDIAN TRANSIT</t>
  </si>
  <si>
    <t>CORRECTED SUN'S NOON ALTITUDE</t>
  </si>
  <si>
    <t>MERIDIAN PASSAGE</t>
  </si>
  <si>
    <t>DECLINATION OF SUN AT TIME OF</t>
  </si>
  <si>
    <t>LATITUDE AT MERIDIAN TRANSIT</t>
  </si>
  <si>
    <t>LONGITUDE AT SUN'S MERIDIAN TRANSIT</t>
  </si>
  <si>
    <t>D.R. POSITION</t>
  </si>
  <si>
    <t>Is the value shaded? (Y or N)</t>
  </si>
  <si>
    <t>LONGITUDE AT MERIDIAN PASSAGE</t>
  </si>
  <si>
    <t>N/S  W/E</t>
  </si>
  <si>
    <t>E</t>
  </si>
  <si>
    <t>SUN / MOON / PLANET-STARS?</t>
  </si>
  <si>
    <t>W</t>
  </si>
  <si>
    <t>OBSERVER: 2/O  PINEDA, HENRY</t>
  </si>
  <si>
    <t>OCTOBER 20, 2009 / 00:44 LT</t>
  </si>
  <si>
    <t>MOON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</si>
</sst>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.00"/>
    <numFmt numFmtId="173" formatCode="0.0"/>
    <numFmt numFmtId="174" formatCode="0.0000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b/>
      <sz val="10"/>
      <name val="Arial"/>
      <family val="2"/>
    </font>
    <font>
      <sz val="6.5"/>
      <color indexed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2" borderId="0" xfId="0" applyFont="1" applyFill="1" applyAlignment="1">
      <alignment/>
    </xf>
    <xf numFmtId="2" fontId="2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7" fillId="2" borderId="2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6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174" fontId="2" fillId="3" borderId="0" xfId="0" applyNumberFormat="1" applyFont="1" applyFill="1" applyBorder="1" applyAlignment="1">
      <alignment/>
    </xf>
    <xf numFmtId="0" fontId="9" fillId="2" borderId="2" xfId="0" applyFont="1" applyFill="1" applyBorder="1" applyAlignment="1">
      <alignment/>
    </xf>
    <xf numFmtId="2" fontId="5" fillId="3" borderId="0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/>
    </xf>
    <xf numFmtId="0" fontId="11" fillId="2" borderId="0" xfId="0" applyFont="1" applyFill="1" applyAlignment="1">
      <alignment horizontal="center"/>
    </xf>
    <xf numFmtId="0" fontId="6" fillId="3" borderId="6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8" fillId="3" borderId="5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13" fillId="4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21" fontId="14" fillId="4" borderId="0" xfId="0" applyNumberFormat="1" applyFont="1" applyFill="1" applyAlignment="1">
      <alignment horizontal="center"/>
    </xf>
    <xf numFmtId="0" fontId="1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3" fillId="4" borderId="0" xfId="0" applyFont="1" applyFill="1" applyAlignment="1">
      <alignment horizontal="center"/>
    </xf>
    <xf numFmtId="0" fontId="6" fillId="2" borderId="2" xfId="0" applyFont="1" applyFill="1" applyBorder="1" applyAlignment="1">
      <alignment/>
    </xf>
    <xf numFmtId="0" fontId="2" fillId="5" borderId="2" xfId="0" applyFont="1" applyFill="1" applyBorder="1" applyAlignment="1" applyProtection="1">
      <alignment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alignment horizontal="right"/>
      <protection locked="0"/>
    </xf>
    <xf numFmtId="0" fontId="2" fillId="5" borderId="4" xfId="0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2" fontId="2" fillId="5" borderId="0" xfId="0" applyNumberFormat="1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2" fontId="2" fillId="5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locked="0"/>
    </xf>
    <xf numFmtId="2" fontId="2" fillId="5" borderId="0" xfId="0" applyNumberFormat="1" applyFont="1" applyFill="1" applyBorder="1" applyAlignment="1" applyProtection="1">
      <alignment/>
      <protection locked="0"/>
    </xf>
    <xf numFmtId="0" fontId="2" fillId="5" borderId="0" xfId="0" applyFont="1" applyFill="1" applyBorder="1" applyAlignment="1" applyProtection="1">
      <alignment/>
      <protection locked="0"/>
    </xf>
    <xf numFmtId="0" fontId="2" fillId="5" borderId="4" xfId="0" applyFont="1" applyFill="1" applyBorder="1" applyAlignment="1" applyProtection="1">
      <alignment/>
      <protection locked="0"/>
    </xf>
    <xf numFmtId="0" fontId="11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12" fillId="0" borderId="0" xfId="0" applyFont="1" applyAlignment="1">
      <alignment horizontal="center" vertical="center" wrapText="1"/>
    </xf>
    <xf numFmtId="2" fontId="2" fillId="3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3" fillId="4" borderId="12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173" fontId="13" fillId="4" borderId="12" xfId="0" applyNumberFormat="1" applyFont="1" applyFill="1" applyBorder="1" applyAlignment="1">
      <alignment horizontal="center"/>
    </xf>
    <xf numFmtId="173" fontId="13" fillId="4" borderId="13" xfId="0" applyNumberFormat="1" applyFont="1" applyFill="1" applyBorder="1" applyAlignment="1">
      <alignment horizontal="center"/>
    </xf>
    <xf numFmtId="173" fontId="2" fillId="3" borderId="14" xfId="0" applyNumberFormat="1" applyFont="1" applyFill="1" applyBorder="1" applyAlignment="1">
      <alignment horizontal="center"/>
    </xf>
    <xf numFmtId="173" fontId="2" fillId="3" borderId="1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0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1" fontId="11" fillId="3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4" fillId="5" borderId="0" xfId="0" applyFont="1" applyFill="1" applyAlignment="1" applyProtection="1">
      <alignment horizontal="center"/>
      <protection locked="0"/>
    </xf>
    <xf numFmtId="21" fontId="13" fillId="4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 topLeftCell="A1">
      <selection activeCell="U21" sqref="U21:W21"/>
    </sheetView>
  </sheetViews>
  <sheetFormatPr defaultColWidth="9.140625" defaultRowHeight="12.75"/>
  <cols>
    <col min="1" max="1" width="23.8515625" style="10" customWidth="1"/>
    <col min="2" max="3" width="4.57421875" style="10" customWidth="1"/>
    <col min="4" max="4" width="4.421875" style="10" customWidth="1"/>
    <col min="5" max="10" width="9.140625" style="10" hidden="1" customWidth="1"/>
    <col min="11" max="11" width="19.57421875" style="10" hidden="1" customWidth="1"/>
    <col min="12" max="12" width="3.421875" style="10" customWidth="1"/>
    <col min="13" max="13" width="15.140625" style="10" customWidth="1"/>
    <col min="14" max="14" width="9.140625" style="10" customWidth="1"/>
    <col min="15" max="15" width="3.8515625" style="10" customWidth="1"/>
    <col min="16" max="16" width="0.13671875" style="10" hidden="1" customWidth="1"/>
    <col min="17" max="17" width="9.140625" style="10" hidden="1" customWidth="1"/>
    <col min="18" max="18" width="3.421875" style="10" customWidth="1"/>
    <col min="19" max="19" width="3.00390625" style="10" customWidth="1"/>
    <col min="20" max="20" width="21.7109375" style="10" customWidth="1"/>
    <col min="21" max="21" width="3.57421875" style="10" customWidth="1"/>
    <col min="22" max="22" width="3.28125" style="10" customWidth="1"/>
    <col min="23" max="23" width="3.421875" style="10" customWidth="1"/>
    <col min="24" max="16384" width="9.140625" style="10" customWidth="1"/>
  </cols>
  <sheetData>
    <row r="1" spans="1:23" ht="12.75">
      <c r="A1" s="92" t="s">
        <v>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3:20" ht="9.75" customHeight="1">
      <c r="M2" s="1"/>
      <c r="N2" s="1"/>
      <c r="O2" s="1"/>
      <c r="P2" s="1"/>
      <c r="Q2" s="1"/>
      <c r="R2" s="1"/>
      <c r="S2" s="1"/>
      <c r="T2" s="1"/>
    </row>
    <row r="3" spans="1:23" ht="12.75">
      <c r="A3" s="11" t="s">
        <v>0</v>
      </c>
      <c r="B3" s="12"/>
      <c r="C3" s="12"/>
      <c r="D3" s="13"/>
      <c r="M3" s="96" t="s">
        <v>34</v>
      </c>
      <c r="N3" s="97"/>
      <c r="O3" s="97"/>
      <c r="P3" s="97"/>
      <c r="Q3" s="97"/>
      <c r="R3" s="98"/>
      <c r="S3" s="1"/>
      <c r="T3" s="50" t="s">
        <v>69</v>
      </c>
      <c r="U3" s="14" t="s">
        <v>51</v>
      </c>
      <c r="V3" s="14" t="s">
        <v>2</v>
      </c>
      <c r="W3" s="15" t="s">
        <v>3</v>
      </c>
    </row>
    <row r="4" spans="1:23" ht="12.75">
      <c r="A4" s="60" t="s">
        <v>97</v>
      </c>
      <c r="B4" s="16"/>
      <c r="C4" s="16"/>
      <c r="D4" s="17"/>
      <c r="M4" s="6" t="s">
        <v>19</v>
      </c>
      <c r="N4" s="69">
        <v>250.9</v>
      </c>
      <c r="O4" s="19"/>
      <c r="P4" s="19"/>
      <c r="Q4" s="18">
        <f>N11-N10</f>
        <v>3.731784274462001</v>
      </c>
      <c r="R4" s="20"/>
      <c r="S4" s="1"/>
      <c r="T4" s="6" t="s">
        <v>35</v>
      </c>
      <c r="U4" s="70">
        <v>49</v>
      </c>
      <c r="V4" s="70">
        <v>46</v>
      </c>
      <c r="W4" s="71">
        <v>24</v>
      </c>
    </row>
    <row r="5" spans="1:23" ht="12.75">
      <c r="A5" s="21"/>
      <c r="B5" s="22" t="s">
        <v>1</v>
      </c>
      <c r="C5" s="22" t="s">
        <v>2</v>
      </c>
      <c r="D5" s="8" t="s">
        <v>3</v>
      </c>
      <c r="E5" s="23" t="s">
        <v>4</v>
      </c>
      <c r="M5" s="5" t="s">
        <v>20</v>
      </c>
      <c r="N5" s="36">
        <f>B21</f>
        <v>251.168215725538</v>
      </c>
      <c r="O5" s="19"/>
      <c r="P5" s="19"/>
      <c r="Q5" s="19"/>
      <c r="R5" s="20"/>
      <c r="S5" s="1"/>
      <c r="T5" s="6"/>
      <c r="U5" s="19"/>
      <c r="V5" s="19"/>
      <c r="W5" s="20"/>
    </row>
    <row r="6" spans="1:23" ht="12.75">
      <c r="A6" s="6" t="s">
        <v>5</v>
      </c>
      <c r="B6" s="61">
        <v>1</v>
      </c>
      <c r="C6" s="62">
        <v>57</v>
      </c>
      <c r="D6" s="63">
        <v>35</v>
      </c>
      <c r="M6" s="51" t="s">
        <v>21</v>
      </c>
      <c r="N6" s="2">
        <f>N5-N4</f>
        <v>0.2682157255379991</v>
      </c>
      <c r="O6" s="3" t="str">
        <f>IF(N4&lt;N5,"E","W")</f>
        <v>E</v>
      </c>
      <c r="P6" s="19"/>
      <c r="Q6" s="19"/>
      <c r="R6" s="20"/>
      <c r="S6" s="1"/>
      <c r="T6" s="6" t="s">
        <v>36</v>
      </c>
      <c r="U6" s="90">
        <v>0</v>
      </c>
      <c r="V6" s="90"/>
      <c r="W6" s="9" t="s">
        <v>2</v>
      </c>
    </row>
    <row r="7" spans="1:23" ht="12.75">
      <c r="A7" s="21"/>
      <c r="B7" s="16"/>
      <c r="C7" s="16"/>
      <c r="D7" s="17"/>
      <c r="E7" s="24" t="s">
        <v>11</v>
      </c>
      <c r="F7" s="24" t="s">
        <v>12</v>
      </c>
      <c r="G7" s="24" t="s">
        <v>16</v>
      </c>
      <c r="H7" s="24" t="s">
        <v>13</v>
      </c>
      <c r="I7" s="24" t="s">
        <v>14</v>
      </c>
      <c r="J7" s="24" t="s">
        <v>15</v>
      </c>
      <c r="K7" s="24" t="s">
        <v>17</v>
      </c>
      <c r="M7" s="6" t="s">
        <v>22</v>
      </c>
      <c r="N7" s="69">
        <v>186</v>
      </c>
      <c r="O7" s="19"/>
      <c r="P7" s="19"/>
      <c r="Q7" s="19"/>
      <c r="R7" s="20"/>
      <c r="S7" s="1"/>
      <c r="T7" s="25" t="s">
        <v>37</v>
      </c>
      <c r="U7" s="19"/>
      <c r="V7" s="19"/>
      <c r="W7" s="20"/>
    </row>
    <row r="8" spans="1:23" ht="12.75">
      <c r="A8" s="21"/>
      <c r="B8" s="22" t="s">
        <v>6</v>
      </c>
      <c r="C8" s="22" t="s">
        <v>7</v>
      </c>
      <c r="D8" s="26" t="s">
        <v>8</v>
      </c>
      <c r="E8" s="27">
        <f>B12+C12/60</f>
        <v>44.13666666666666</v>
      </c>
      <c r="F8" s="27">
        <f>IF(D14="S",(B14+C14/60)*-1,B14+C14/60)</f>
        <v>16.381666666666668</v>
      </c>
      <c r="G8" s="28">
        <f>IF(D9="S",-(B9+C9/60),B9+C9/60)</f>
        <v>36.14833333333333</v>
      </c>
      <c r="H8" s="28">
        <f>IF(D10="W",-(B10+C10/60),B10+C10/60)</f>
        <v>-4.5600000000000005</v>
      </c>
      <c r="I8" s="27">
        <f>IF((IF((E8+H8)&gt;360,E8+H8-360,E8+H8)+B16+C16/60)&gt;360,(IF((E8+H8)&gt;360,E8+H8-360,E8+H8)+B16+C16/60)-360,IF((IF((E8+H8)&gt;360,E8+H8-360,E8+H8)+B16+C16/60)&lt;0,(IF((E8+H8)&gt;360,E8+H8-360,E8+H8)+B16+C16/60)+360,(IF((E8+H8)&gt;360,E8+H8-360,E8+H8)+B16+C16/60)))</f>
        <v>39.57666666666666</v>
      </c>
      <c r="J8" s="27">
        <f>ASIN(SIN(F8*PI()/180)*SIN(G8*PI()/180)+COS(F8*PI()/180)*COS(I8*PI()/180)*COS(G8*PI()/180))*180/PI()</f>
        <v>49.773075769216526</v>
      </c>
      <c r="K8" s="27">
        <f>IF(I8&lt;180,360-ACOS(IF(((SIN(F8*PI()/180)*COS(G8*PI()/180)-COS(F8*PI()/180)*COS(I8*PI()/180)*SIN(G8*PI()/180))/COS(J8*PI()/180))&gt;1,1,IF((SIN(F8*PI()/180)*COS(G8*PI()/180)-COS(F8*PI()/180)*COS(I8*PI()/180)*SIN(G8*PI()/180)/COS(J8*PI()/180))&lt;-1,-1,SIN(F8*PI()/180)*COS(G8*PI()/180)-COS(F8*PI()/180)*COS(I8*PI()/180)*SIN(G8*PI()/180))/COS(J8*PI()/180)))*180/PI(),ACOS(IF(((SIN(F8*PI()/180)*COS(G8*PI()/180)-COS(F8*PI()/180)*COS(I8*PI()/180)*SIN(G8*PI()/180))/COS(J8*PI()/180))&gt;1,1,IF((SIN(F8*PI()/180)*COS(G8*PI()/180)-COS(F8*PI()/180)*COS(I8*PI()/180)*SIN(G8*PI()/180)/COS(J8*PI()/180))&lt;-1,-1,SIN(F8*PI()/180)*COS(G8*PI()/180)-COS(F8*PI()/180)*COS(I8*PI()/180)*SIN(G8*PI()/180))/COS(J8*PI()/180)))*180/PI())</f>
        <v>251.168215725538</v>
      </c>
      <c r="M8" s="6" t="s">
        <v>23</v>
      </c>
      <c r="N8" s="2">
        <f>N7+N6</f>
        <v>186.268215725538</v>
      </c>
      <c r="O8" s="19"/>
      <c r="P8" s="19"/>
      <c r="Q8" s="19"/>
      <c r="R8" s="20"/>
      <c r="S8" s="1"/>
      <c r="T8" s="6" t="s">
        <v>38</v>
      </c>
      <c r="U8" s="90">
        <v>22</v>
      </c>
      <c r="V8" s="90"/>
      <c r="W8" s="29" t="s">
        <v>48</v>
      </c>
    </row>
    <row r="9" spans="1:23" ht="12.75">
      <c r="A9" s="6" t="s">
        <v>9</v>
      </c>
      <c r="B9" s="64">
        <v>36</v>
      </c>
      <c r="C9" s="65">
        <v>8.9</v>
      </c>
      <c r="D9" s="66" t="s">
        <v>18</v>
      </c>
      <c r="M9" s="6" t="s">
        <v>24</v>
      </c>
      <c r="N9" s="69">
        <v>192</v>
      </c>
      <c r="O9" s="19"/>
      <c r="P9" s="19"/>
      <c r="Q9" s="19"/>
      <c r="R9" s="20"/>
      <c r="S9" s="1"/>
      <c r="T9" s="6"/>
      <c r="U9" s="19"/>
      <c r="V9" s="19"/>
      <c r="W9" s="20"/>
    </row>
    <row r="10" spans="1:23" ht="12.75">
      <c r="A10" s="6" t="s">
        <v>10</v>
      </c>
      <c r="B10" s="64">
        <v>4</v>
      </c>
      <c r="C10" s="65">
        <v>33.6</v>
      </c>
      <c r="D10" s="66" t="s">
        <v>94</v>
      </c>
      <c r="M10" s="6" t="s">
        <v>25</v>
      </c>
      <c r="N10" s="2">
        <f>N8-N9</f>
        <v>-5.731784274462001</v>
      </c>
      <c r="O10" s="3" t="str">
        <f>IF(N9&gt;N8,"W","E")</f>
        <v>W</v>
      </c>
      <c r="P10" s="19"/>
      <c r="Q10" s="19"/>
      <c r="R10" s="20"/>
      <c r="S10" s="1"/>
      <c r="T10" s="6" t="s">
        <v>39</v>
      </c>
      <c r="U10" s="99">
        <f>0.0293*SQRT(U8)</f>
        <v>0.13742918176282648</v>
      </c>
      <c r="V10" s="99"/>
      <c r="W10" s="100"/>
    </row>
    <row r="11" spans="1:23" ht="12.75">
      <c r="A11" s="6"/>
      <c r="B11" s="22"/>
      <c r="C11" s="88"/>
      <c r="D11" s="89"/>
      <c r="M11" s="6" t="s">
        <v>28</v>
      </c>
      <c r="N11" s="69">
        <v>-2</v>
      </c>
      <c r="O11" s="3" t="s">
        <v>94</v>
      </c>
      <c r="P11" s="19"/>
      <c r="Q11" s="19"/>
      <c r="R11" s="20"/>
      <c r="S11" s="1"/>
      <c r="T11" s="6"/>
      <c r="U11" s="19"/>
      <c r="V11" s="19"/>
      <c r="W11" s="20"/>
    </row>
    <row r="12" spans="1:23" ht="12.75">
      <c r="A12" s="6" t="s">
        <v>11</v>
      </c>
      <c r="B12" s="64">
        <v>44</v>
      </c>
      <c r="C12" s="65">
        <v>8.2</v>
      </c>
      <c r="D12" s="37"/>
      <c r="M12" s="51" t="s">
        <v>27</v>
      </c>
      <c r="N12" s="2">
        <f>ABS(Q4)</f>
        <v>3.731784274462001</v>
      </c>
      <c r="O12" s="3" t="str">
        <f>IF(N11&gt;N10,"W","E")</f>
        <v>W</v>
      </c>
      <c r="P12" s="19"/>
      <c r="Q12" s="19"/>
      <c r="R12" s="20"/>
      <c r="S12" s="1"/>
      <c r="T12" s="6" t="s">
        <v>40</v>
      </c>
      <c r="U12" s="94">
        <f>U4+V4/60+W4/3600+U6/60-U10</f>
        <v>49.63590415157051</v>
      </c>
      <c r="V12" s="94"/>
      <c r="W12" s="95"/>
    </row>
    <row r="13" spans="1:23" ht="12.75">
      <c r="A13" s="35" t="s">
        <v>53</v>
      </c>
      <c r="B13" s="22"/>
      <c r="C13" s="22"/>
      <c r="D13" s="26"/>
      <c r="M13" s="6"/>
      <c r="N13" s="19"/>
      <c r="O13" s="19"/>
      <c r="P13" s="19"/>
      <c r="Q13" s="19"/>
      <c r="R13" s="20"/>
      <c r="S13" s="1"/>
      <c r="T13" s="6"/>
      <c r="U13" s="19"/>
      <c r="V13" s="19"/>
      <c r="W13" s="20"/>
    </row>
    <row r="14" spans="1:23" ht="12.75">
      <c r="A14" s="6" t="s">
        <v>12</v>
      </c>
      <c r="B14" s="64">
        <v>16</v>
      </c>
      <c r="C14" s="67">
        <v>22.9</v>
      </c>
      <c r="D14" s="66" t="s">
        <v>18</v>
      </c>
      <c r="M14" s="6" t="s">
        <v>30</v>
      </c>
      <c r="N14" s="2">
        <f>N9</f>
        <v>192</v>
      </c>
      <c r="O14" s="19"/>
      <c r="P14" s="19"/>
      <c r="Q14" s="19"/>
      <c r="R14" s="20"/>
      <c r="S14" s="1"/>
      <c r="T14" s="6" t="s">
        <v>41</v>
      </c>
      <c r="U14" s="90">
        <v>22</v>
      </c>
      <c r="V14" s="90"/>
      <c r="W14" s="8" t="s">
        <v>46</v>
      </c>
    </row>
    <row r="15" spans="1:23" ht="12.75">
      <c r="A15" s="21"/>
      <c r="B15" s="22"/>
      <c r="C15" s="88"/>
      <c r="D15" s="89"/>
      <c r="M15" s="6" t="s">
        <v>31</v>
      </c>
      <c r="N15" s="2">
        <f>IF(O15="W",-N12,+N12)</f>
        <v>-3.731784274462001</v>
      </c>
      <c r="O15" s="3" t="str">
        <f>O12</f>
        <v>W</v>
      </c>
      <c r="P15" s="19"/>
      <c r="Q15" s="19"/>
      <c r="R15" s="20"/>
      <c r="S15" s="1"/>
      <c r="T15" s="6"/>
      <c r="U15" s="19"/>
      <c r="V15" s="19"/>
      <c r="W15" s="20"/>
    </row>
    <row r="16" spans="1:23" ht="12.75">
      <c r="A16" s="6" t="str">
        <f>CONCATENATE("Sha of  ",A4)</f>
        <v>Sha of  MOON</v>
      </c>
      <c r="B16" s="64"/>
      <c r="C16" s="65"/>
      <c r="D16" s="37"/>
      <c r="M16" s="6" t="s">
        <v>33</v>
      </c>
      <c r="N16" s="2">
        <f>N14+N15</f>
        <v>188.268215725538</v>
      </c>
      <c r="O16" s="19"/>
      <c r="P16" s="19"/>
      <c r="Q16" s="19"/>
      <c r="R16" s="20"/>
      <c r="S16" s="1"/>
      <c r="T16" s="6" t="s">
        <v>42</v>
      </c>
      <c r="U16" s="90">
        <v>1010</v>
      </c>
      <c r="V16" s="90"/>
      <c r="W16" s="29" t="s">
        <v>47</v>
      </c>
    </row>
    <row r="17" spans="1:23" ht="13.5" thickBot="1">
      <c r="A17" s="25" t="s">
        <v>52</v>
      </c>
      <c r="B17" s="22" t="s">
        <v>6</v>
      </c>
      <c r="C17" s="88" t="s">
        <v>7</v>
      </c>
      <c r="D17" s="89"/>
      <c r="M17" s="6" t="s">
        <v>26</v>
      </c>
      <c r="N17" s="2">
        <f>IF(O11&lt;0,-N11,+N11)</f>
        <v>-2</v>
      </c>
      <c r="O17" s="3" t="str">
        <f>O11</f>
        <v>W</v>
      </c>
      <c r="P17" s="19"/>
      <c r="Q17" s="19"/>
      <c r="R17" s="20"/>
      <c r="S17" s="1"/>
      <c r="T17" s="6" t="s">
        <v>43</v>
      </c>
      <c r="U17" s="94">
        <f>0.0167/TAN((U12+7.31/(U12+4.4))*PI()/180)*(0.28*U16/(U14+273))</f>
        <v>0.013542761903495236</v>
      </c>
      <c r="V17" s="94"/>
      <c r="W17" s="95"/>
    </row>
    <row r="18" spans="1:23" ht="13.5" thickBot="1">
      <c r="A18" s="48" t="str">
        <f>CONCATENATE("T/Altitude of  ",$A$4,"  @  ",CONCATENATE($A$7))</f>
        <v>T/Altitude of  MOON  @  </v>
      </c>
      <c r="B18" s="49">
        <f>ABS(INT(J8))</f>
        <v>49</v>
      </c>
      <c r="C18" s="84">
        <f>(J8-B18)*60</f>
        <v>46.38454615299153</v>
      </c>
      <c r="D18" s="85"/>
      <c r="M18" s="52" t="s">
        <v>32</v>
      </c>
      <c r="N18" s="4">
        <f>N16+N17</f>
        <v>186.268215725538</v>
      </c>
      <c r="O18" s="31"/>
      <c r="P18" s="31"/>
      <c r="Q18" s="31"/>
      <c r="R18" s="32"/>
      <c r="S18" s="1"/>
      <c r="T18" s="25" t="s">
        <v>44</v>
      </c>
      <c r="U18" s="19"/>
      <c r="V18" s="19"/>
      <c r="W18" s="20"/>
    </row>
    <row r="19" spans="1:23" ht="13.5" thickBot="1">
      <c r="A19" s="7" t="str">
        <f>CONCATENATE("T/Azimuth of  ",$A$4," @  ",CONCATENATE($A$7))</f>
        <v>T/Azimuth of  MOON @  </v>
      </c>
      <c r="B19" s="42">
        <f>ABS(INT(K8))</f>
        <v>251</v>
      </c>
      <c r="C19" s="86">
        <f>(K8-B19)*60</f>
        <v>10.092943532280287</v>
      </c>
      <c r="D19" s="87"/>
      <c r="M19" s="1"/>
      <c r="N19" s="1"/>
      <c r="O19" s="1"/>
      <c r="P19" s="1"/>
      <c r="Q19" s="1"/>
      <c r="R19" s="1"/>
      <c r="S19" s="1"/>
      <c r="T19" s="48" t="s">
        <v>45</v>
      </c>
      <c r="U19" s="82">
        <f>U12-U17+U22+U23</f>
        <v>49.62456949180901</v>
      </c>
      <c r="V19" s="82"/>
      <c r="W19" s="83"/>
    </row>
    <row r="20" spans="13:23" ht="13.5" customHeight="1">
      <c r="M20" s="11" t="s">
        <v>49</v>
      </c>
      <c r="N20" s="34">
        <f>B18+(C18/60)</f>
        <v>49.773075769216526</v>
      </c>
      <c r="O20" s="40" t="s">
        <v>51</v>
      </c>
      <c r="P20" s="33"/>
      <c r="Q20" s="33"/>
      <c r="R20" s="33"/>
      <c r="S20" s="33"/>
      <c r="T20" s="59" t="s">
        <v>93</v>
      </c>
      <c r="U20" s="90" t="s">
        <v>97</v>
      </c>
      <c r="V20" s="90"/>
      <c r="W20" s="91"/>
    </row>
    <row r="21" spans="1:23" ht="12.75">
      <c r="A21" s="46" t="s">
        <v>54</v>
      </c>
      <c r="B21" s="106">
        <f>B19+(C19/60)</f>
        <v>251.168215725538</v>
      </c>
      <c r="C21" s="107"/>
      <c r="D21" s="1" t="s">
        <v>51</v>
      </c>
      <c r="M21" s="6" t="s">
        <v>50</v>
      </c>
      <c r="N21" s="34">
        <f>U19</f>
        <v>49.62456949180901</v>
      </c>
      <c r="O21" s="41" t="s">
        <v>51</v>
      </c>
      <c r="P21" s="19"/>
      <c r="Q21" s="19"/>
      <c r="R21" s="19"/>
      <c r="S21" s="19"/>
      <c r="T21" s="6" t="s">
        <v>70</v>
      </c>
      <c r="U21" s="90">
        <v>0.0024</v>
      </c>
      <c r="V21" s="90"/>
      <c r="W21" s="91"/>
    </row>
    <row r="22" spans="1:23" ht="13.5" customHeight="1">
      <c r="A22" s="38" t="s">
        <v>64</v>
      </c>
      <c r="B22" s="101">
        <f>N6</f>
        <v>0.2682157255379991</v>
      </c>
      <c r="C22" s="101"/>
      <c r="D22" s="47" t="str">
        <f>O6</f>
        <v>E</v>
      </c>
      <c r="M22" s="30" t="s">
        <v>55</v>
      </c>
      <c r="N22" s="104" t="str">
        <f>IF((N21-N20)*60&lt;0,CONCATENATE(ABS(ROUND((N21-N20)*60,1)),"'             away"),CONCATENATE(ABS(ROUND((N21-N20)*60,1)),"'       towards"))</f>
        <v>8.9'             away</v>
      </c>
      <c r="O22" s="105"/>
      <c r="P22" s="105"/>
      <c r="Q22" s="105"/>
      <c r="R22" s="105"/>
      <c r="S22" s="105"/>
      <c r="T22" s="6" t="s">
        <v>63</v>
      </c>
      <c r="U22" s="94">
        <f>U21*COS(U12*PI()/180)</f>
        <v>0.0015543421419974006</v>
      </c>
      <c r="V22" s="94"/>
      <c r="W22" s="95"/>
    </row>
    <row r="23" spans="13:23" ht="11.25" customHeight="1">
      <c r="M23" s="1"/>
      <c r="N23" s="1"/>
      <c r="O23" s="1"/>
      <c r="P23" s="1"/>
      <c r="Q23" s="1"/>
      <c r="R23" s="1"/>
      <c r="S23" s="1"/>
      <c r="T23" s="30" t="s">
        <v>68</v>
      </c>
      <c r="U23" s="102">
        <f>IF($U$20="PLANET",0,IF($U$20="MOON",0.2724*U21,IF($U$20="SUN",16.2/60,0)))</f>
        <v>0.0006537599999999999</v>
      </c>
      <c r="V23" s="102"/>
      <c r="W23" s="103"/>
    </row>
    <row r="24" spans="13:20" ht="12.75">
      <c r="M24" s="1"/>
      <c r="N24" s="1"/>
      <c r="O24" s="1"/>
      <c r="P24" s="1"/>
      <c r="Q24" s="1"/>
      <c r="R24" s="1"/>
      <c r="S24" s="1"/>
      <c r="T24" s="1"/>
    </row>
    <row r="25" spans="13:20" ht="12.75">
      <c r="M25" s="1"/>
      <c r="N25" s="1"/>
      <c r="O25" s="1"/>
      <c r="P25" s="1"/>
      <c r="Q25" s="1"/>
      <c r="R25" s="1"/>
      <c r="S25" s="1"/>
      <c r="T25" s="1"/>
    </row>
    <row r="26" spans="1:20" ht="12.75">
      <c r="A26" s="68" t="s">
        <v>96</v>
      </c>
      <c r="M26" s="1"/>
      <c r="N26" s="1"/>
      <c r="O26" s="1"/>
      <c r="P26" s="1"/>
      <c r="Q26" s="1"/>
      <c r="R26" s="1"/>
      <c r="S26" s="1"/>
      <c r="T26" s="1"/>
    </row>
    <row r="27" spans="1:20" ht="12.75">
      <c r="A27" s="68" t="s">
        <v>95</v>
      </c>
      <c r="M27" s="1"/>
      <c r="N27" s="1"/>
      <c r="O27" s="1"/>
      <c r="P27" s="1"/>
      <c r="Q27" s="1"/>
      <c r="R27" s="1"/>
      <c r="S27" s="1"/>
      <c r="T27" s="1"/>
    </row>
    <row r="28" spans="13:20" ht="12.75">
      <c r="M28" s="1"/>
      <c r="N28" s="1"/>
      <c r="O28" s="1"/>
      <c r="P28" s="1"/>
      <c r="Q28" s="1"/>
      <c r="R28" s="1"/>
      <c r="S28" s="1"/>
      <c r="T28" s="1"/>
    </row>
    <row r="29" spans="13:20" ht="12.75">
      <c r="M29" s="1"/>
      <c r="N29" s="1"/>
      <c r="O29" s="1"/>
      <c r="P29" s="1"/>
      <c r="Q29" s="1"/>
      <c r="R29" s="1"/>
      <c r="S29" s="1"/>
      <c r="T29" s="1"/>
    </row>
    <row r="30" spans="13:20" ht="12.75">
      <c r="M30" s="1"/>
      <c r="N30" s="1"/>
      <c r="O30" s="1"/>
      <c r="P30" s="1"/>
      <c r="Q30" s="1"/>
      <c r="R30" s="1"/>
      <c r="S30" s="1"/>
      <c r="T30" s="1"/>
    </row>
    <row r="31" spans="13:20" ht="12.75">
      <c r="M31" s="1"/>
      <c r="N31" s="1"/>
      <c r="O31" s="1"/>
      <c r="P31" s="1"/>
      <c r="Q31" s="1"/>
      <c r="R31" s="1"/>
      <c r="S31" s="1"/>
      <c r="T31" s="1"/>
    </row>
  </sheetData>
  <sheetProtection sheet="1" objects="1" scenarios="1" selectLockedCells="1"/>
  <mergeCells count="22">
    <mergeCell ref="B22:C22"/>
    <mergeCell ref="U21:W21"/>
    <mergeCell ref="U22:W22"/>
    <mergeCell ref="U23:W23"/>
    <mergeCell ref="N22:S22"/>
    <mergeCell ref="B21:C21"/>
    <mergeCell ref="U20:W20"/>
    <mergeCell ref="A1:W1"/>
    <mergeCell ref="U14:V14"/>
    <mergeCell ref="U16:V16"/>
    <mergeCell ref="U17:W17"/>
    <mergeCell ref="M3:R3"/>
    <mergeCell ref="U10:W10"/>
    <mergeCell ref="U12:W12"/>
    <mergeCell ref="U8:V8"/>
    <mergeCell ref="U6:V6"/>
    <mergeCell ref="U19:W19"/>
    <mergeCell ref="C18:D18"/>
    <mergeCell ref="C19:D19"/>
    <mergeCell ref="C11:D11"/>
    <mergeCell ref="C15:D15"/>
    <mergeCell ref="C17:D17"/>
  </mergeCells>
  <printOptions horizontalCentered="1" verticalCentered="1"/>
  <pageMargins left="0" right="0" top="1.5" bottom="0" header="0" footer="0"/>
  <pageSetup horizontalDpi="600" verticalDpi="600" orientation="landscape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5" sqref="D5"/>
    </sheetView>
  </sheetViews>
  <sheetFormatPr defaultColWidth="9.140625" defaultRowHeight="12.75"/>
  <cols>
    <col min="1" max="1" width="10.421875" style="10" customWidth="1"/>
    <col min="2" max="2" width="9.140625" style="10" customWidth="1"/>
    <col min="3" max="3" width="5.421875" style="10" customWidth="1"/>
    <col min="4" max="4" width="6.140625" style="10" customWidth="1"/>
    <col min="5" max="5" width="5.57421875" style="10" customWidth="1"/>
    <col min="6" max="6" width="4.8515625" style="10" customWidth="1"/>
    <col min="7" max="7" width="5.28125" style="10" customWidth="1"/>
    <col min="8" max="8" width="14.8515625" style="10" customWidth="1"/>
    <col min="9" max="16384" width="9.140625" style="10" customWidth="1"/>
  </cols>
  <sheetData>
    <row r="1" spans="1:7" ht="20.25">
      <c r="A1" s="109" t="s">
        <v>56</v>
      </c>
      <c r="B1" s="109"/>
      <c r="C1" s="109"/>
      <c r="D1" s="109"/>
      <c r="E1" s="109"/>
      <c r="F1" s="109"/>
      <c r="G1" s="109"/>
    </row>
    <row r="4" spans="3:5" ht="12.75">
      <c r="C4" s="43" t="s">
        <v>51</v>
      </c>
      <c r="D4" s="43" t="s">
        <v>2</v>
      </c>
      <c r="E4" s="43"/>
    </row>
    <row r="5" spans="1:5" ht="12.75">
      <c r="A5" s="10" t="s">
        <v>9</v>
      </c>
      <c r="C5" s="72">
        <v>15</v>
      </c>
      <c r="D5" s="72">
        <v>0</v>
      </c>
      <c r="E5" s="43"/>
    </row>
    <row r="6" spans="1:5" ht="12.75">
      <c r="A6" s="10" t="s">
        <v>10</v>
      </c>
      <c r="C6" s="72">
        <v>85</v>
      </c>
      <c r="D6" s="72">
        <v>0</v>
      </c>
      <c r="E6" s="73" t="s">
        <v>57</v>
      </c>
    </row>
    <row r="7" spans="1:4" ht="12.75">
      <c r="A7" s="10" t="s">
        <v>58</v>
      </c>
      <c r="C7" s="72">
        <v>-5</v>
      </c>
      <c r="D7" s="45" t="s">
        <v>59</v>
      </c>
    </row>
    <row r="9" spans="3:7" ht="12.75">
      <c r="C9" s="43" t="s">
        <v>51</v>
      </c>
      <c r="D9" s="43" t="s">
        <v>2</v>
      </c>
      <c r="E9" s="43"/>
      <c r="F9" s="43" t="s">
        <v>1</v>
      </c>
      <c r="G9" s="43" t="s">
        <v>2</v>
      </c>
    </row>
    <row r="10" spans="1:7" ht="12.75">
      <c r="A10" s="10" t="s">
        <v>60</v>
      </c>
      <c r="C10" s="72">
        <v>20</v>
      </c>
      <c r="D10" s="72">
        <v>30</v>
      </c>
      <c r="E10" s="39"/>
      <c r="F10" s="72">
        <v>10</v>
      </c>
      <c r="G10" s="72">
        <v>0</v>
      </c>
    </row>
    <row r="11" spans="1:7" ht="12.75">
      <c r="A11" s="10" t="s">
        <v>9</v>
      </c>
      <c r="C11" s="72">
        <f>C5</f>
        <v>15</v>
      </c>
      <c r="D11" s="72">
        <f>D5</f>
        <v>0</v>
      </c>
      <c r="E11" s="39"/>
      <c r="F11" s="108">
        <f>((F10+G10/60)-((C10+D10/60-C11+D11/60)/(C10+D10/60-C12+D12/60))*((F10+G10/60)-(F12+G12/60)))/24</f>
        <v>0.41736111111111107</v>
      </c>
      <c r="G11" s="108"/>
    </row>
    <row r="12" spans="1:7" ht="12.75">
      <c r="A12" s="10" t="s">
        <v>61</v>
      </c>
      <c r="C12" s="72">
        <v>10</v>
      </c>
      <c r="D12" s="72">
        <v>30</v>
      </c>
      <c r="E12" s="39"/>
      <c r="F12" s="72">
        <v>10</v>
      </c>
      <c r="G12" s="72">
        <v>2</v>
      </c>
    </row>
    <row r="13" spans="3:7" ht="12.75">
      <c r="C13" s="43"/>
      <c r="D13" s="43"/>
      <c r="E13" s="43"/>
      <c r="F13" s="43"/>
      <c r="G13" s="43"/>
    </row>
    <row r="15" ht="12.75">
      <c r="A15" s="44" t="s">
        <v>62</v>
      </c>
    </row>
    <row r="16" ht="12.75">
      <c r="A16" s="53">
        <f>(F11-((IF(E6="W",-(C6+D6/60),C6+D6/60)/15)/24))+C7/24</f>
        <v>0.44513888888888886</v>
      </c>
    </row>
  </sheetData>
  <sheetProtection sheet="1" objects="1" scenarios="1" selectLockedCells="1"/>
  <mergeCells count="2">
    <mergeCell ref="F11:G11"/>
    <mergeCell ref="A1:G1"/>
  </mergeCells>
  <printOptions horizontalCentered="1"/>
  <pageMargins left="0.75" right="0.75" top="1.5" bottom="1" header="0.5" footer="0.5"/>
  <pageSetup horizontalDpi="600" verticalDpi="600" orientation="portrait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F9" sqref="F9"/>
    </sheetView>
  </sheetViews>
  <sheetFormatPr defaultColWidth="9.140625" defaultRowHeight="12.75"/>
  <cols>
    <col min="1" max="2" width="9.140625" style="54" customWidth="1"/>
    <col min="3" max="3" width="12.140625" style="54" customWidth="1"/>
    <col min="4" max="4" width="5.28125" style="54" customWidth="1"/>
    <col min="5" max="5" width="5.140625" style="54" customWidth="1"/>
    <col min="6" max="6" width="4.421875" style="54" customWidth="1"/>
    <col min="7" max="16384" width="9.140625" style="54" customWidth="1"/>
  </cols>
  <sheetData>
    <row r="1" spans="1:7" ht="20.25">
      <c r="A1" s="109" t="s">
        <v>65</v>
      </c>
      <c r="B1" s="77"/>
      <c r="C1" s="77"/>
      <c r="D1" s="77"/>
      <c r="E1" s="77"/>
      <c r="F1" s="77"/>
      <c r="G1" s="77"/>
    </row>
    <row r="2" spans="1:6" ht="27" customHeight="1">
      <c r="A2" s="57"/>
      <c r="B2" s="57"/>
      <c r="C2" s="57"/>
      <c r="D2" s="55" t="s">
        <v>51</v>
      </c>
      <c r="E2" s="55" t="s">
        <v>2</v>
      </c>
      <c r="F2" s="55" t="s">
        <v>75</v>
      </c>
    </row>
    <row r="3" spans="1:6" ht="12.75">
      <c r="A3" s="57" t="s">
        <v>66</v>
      </c>
      <c r="B3" s="57"/>
      <c r="C3" s="57"/>
      <c r="D3" s="74">
        <v>1</v>
      </c>
      <c r="E3" s="74">
        <v>9.75</v>
      </c>
      <c r="F3" s="74" t="s">
        <v>92</v>
      </c>
    </row>
    <row r="4" spans="1:6" ht="12.75">
      <c r="A4" s="57"/>
      <c r="B4" s="57"/>
      <c r="C4" s="57"/>
      <c r="D4" s="55" t="s">
        <v>2</v>
      </c>
      <c r="E4" s="55" t="s">
        <v>3</v>
      </c>
      <c r="F4" s="56"/>
    </row>
    <row r="5" spans="1:6" ht="12.75">
      <c r="A5" s="57" t="s">
        <v>67</v>
      </c>
      <c r="B5" s="57"/>
      <c r="C5" s="57"/>
      <c r="D5" s="74">
        <v>4</v>
      </c>
      <c r="E5" s="74">
        <v>39</v>
      </c>
      <c r="F5" s="56"/>
    </row>
    <row r="6" spans="1:6" ht="12.75">
      <c r="A6" s="57"/>
      <c r="B6" s="57"/>
      <c r="C6" s="57"/>
      <c r="D6" s="56"/>
      <c r="E6" s="56"/>
      <c r="F6" s="56"/>
    </row>
    <row r="7" spans="1:6" ht="12.75">
      <c r="A7" s="57" t="s">
        <v>71</v>
      </c>
      <c r="B7" s="57"/>
      <c r="C7" s="57"/>
      <c r="D7" s="56"/>
      <c r="E7" s="74" t="s">
        <v>18</v>
      </c>
      <c r="F7" s="56"/>
    </row>
    <row r="8" spans="1:6" ht="12.75">
      <c r="A8" s="57"/>
      <c r="B8" s="57"/>
      <c r="C8" s="57"/>
      <c r="D8" s="56"/>
      <c r="E8" s="56"/>
      <c r="F8" s="56"/>
    </row>
    <row r="9" spans="1:6" ht="12.75">
      <c r="A9" s="57" t="s">
        <v>72</v>
      </c>
      <c r="B9" s="57"/>
      <c r="C9" s="57"/>
      <c r="D9" s="110">
        <v>1</v>
      </c>
      <c r="E9" s="110"/>
      <c r="F9" s="75" t="s">
        <v>92</v>
      </c>
    </row>
    <row r="10" spans="1:6" ht="12.75">
      <c r="A10" s="57"/>
      <c r="B10" s="57"/>
      <c r="C10" s="57"/>
      <c r="D10" s="56"/>
      <c r="E10" s="56"/>
      <c r="F10" s="56"/>
    </row>
    <row r="11" spans="1:6" ht="12.75">
      <c r="A11" s="57" t="s">
        <v>73</v>
      </c>
      <c r="B11" s="57"/>
      <c r="C11" s="57"/>
      <c r="D11" s="111">
        <f>(12-IF(E7="N",(D5/60+E5/3600),(D5/60+E5/3600)*-1)-IF(F3="E",D3+E3/60,(D3+E3/60)*-1)/15)/24</f>
        <v>0.4935416666666666</v>
      </c>
      <c r="E11" s="111"/>
      <c r="F11" s="56"/>
    </row>
    <row r="12" spans="1:6" ht="12.75">
      <c r="A12" s="57" t="s">
        <v>74</v>
      </c>
      <c r="B12" s="57"/>
      <c r="C12" s="57"/>
      <c r="D12" s="111">
        <f>D11+D9/24</f>
        <v>0.5352083333333333</v>
      </c>
      <c r="E12" s="111"/>
      <c r="F12" s="56"/>
    </row>
  </sheetData>
  <sheetProtection sheet="1" objects="1" scenarios="1" selectLockedCells="1"/>
  <mergeCells count="4">
    <mergeCell ref="D9:E9"/>
    <mergeCell ref="D11:E11"/>
    <mergeCell ref="D12:E12"/>
    <mergeCell ref="A1:G1"/>
  </mergeCells>
  <printOptions horizontalCentered="1"/>
  <pageMargins left="0.75" right="0.75" top="2" bottom="2" header="0.5" footer="0.5"/>
  <pageSetup horizontalDpi="600" verticalDpi="600" orientation="portrait" scale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D8" sqref="D8"/>
    </sheetView>
  </sheetViews>
  <sheetFormatPr defaultColWidth="9.140625" defaultRowHeight="12.75"/>
  <cols>
    <col min="1" max="2" width="9.140625" style="10" customWidth="1"/>
    <col min="3" max="3" width="15.421875" style="10" customWidth="1"/>
    <col min="4" max="6" width="5.28125" style="10" customWidth="1"/>
    <col min="7" max="7" width="9.421875" style="10" customWidth="1"/>
    <col min="8" max="16384" width="9.140625" style="10" customWidth="1"/>
  </cols>
  <sheetData>
    <row r="1" spans="1:7" ht="20.25">
      <c r="A1" s="109" t="s">
        <v>76</v>
      </c>
      <c r="B1" s="109"/>
      <c r="C1" s="109"/>
      <c r="D1" s="109"/>
      <c r="E1" s="109"/>
      <c r="F1" s="109"/>
      <c r="G1" s="109"/>
    </row>
    <row r="2" spans="4:6" ht="15" customHeight="1">
      <c r="D2" s="24"/>
      <c r="E2" s="24"/>
      <c r="F2" s="24"/>
    </row>
    <row r="3" spans="4:6" ht="12.75">
      <c r="D3" s="24" t="s">
        <v>51</v>
      </c>
      <c r="E3" s="24" t="s">
        <v>2</v>
      </c>
      <c r="F3" s="24" t="s">
        <v>8</v>
      </c>
    </row>
    <row r="4" spans="1:6" ht="12.75">
      <c r="A4" s="44" t="s">
        <v>77</v>
      </c>
      <c r="B4" s="44"/>
      <c r="C4" s="44"/>
      <c r="D4" s="76">
        <v>48</v>
      </c>
      <c r="E4" s="76">
        <v>48</v>
      </c>
      <c r="F4" s="76" t="s">
        <v>18</v>
      </c>
    </row>
    <row r="5" spans="1:6" ht="12.75">
      <c r="A5" s="44"/>
      <c r="B5" s="44"/>
      <c r="C5" s="44"/>
      <c r="D5" s="24"/>
      <c r="E5" s="24"/>
      <c r="F5" s="24"/>
    </row>
    <row r="6" spans="1:6" ht="12.75">
      <c r="A6" s="44" t="s">
        <v>78</v>
      </c>
      <c r="B6" s="44"/>
      <c r="C6" s="44"/>
      <c r="D6" s="76">
        <v>8</v>
      </c>
      <c r="E6" s="76">
        <v>57.2</v>
      </c>
      <c r="F6" s="76" t="s">
        <v>81</v>
      </c>
    </row>
    <row r="7" spans="1:6" ht="12.75">
      <c r="A7" s="44"/>
      <c r="B7" s="44"/>
      <c r="C7" s="44"/>
      <c r="D7" s="24"/>
      <c r="E7" s="24"/>
      <c r="F7" s="24"/>
    </row>
    <row r="8" spans="1:6" ht="12.75">
      <c r="A8" s="44" t="s">
        <v>79</v>
      </c>
      <c r="B8" s="44"/>
      <c r="C8" s="44"/>
      <c r="D8" s="76" t="s">
        <v>81</v>
      </c>
      <c r="E8" s="24"/>
      <c r="F8" s="24"/>
    </row>
    <row r="9" spans="1:6" ht="12.75">
      <c r="A9" s="44"/>
      <c r="B9" s="44"/>
      <c r="C9" s="44"/>
      <c r="D9" s="24"/>
      <c r="E9" s="24"/>
      <c r="F9" s="24"/>
    </row>
    <row r="10" spans="1:6" ht="12.75">
      <c r="A10" s="44"/>
      <c r="B10" s="44"/>
      <c r="C10" s="44"/>
      <c r="D10" s="24"/>
      <c r="E10" s="24"/>
      <c r="F10" s="24"/>
    </row>
    <row r="11" spans="1:6" ht="12.75">
      <c r="A11" s="44" t="s">
        <v>80</v>
      </c>
      <c r="B11" s="44"/>
      <c r="C11" s="44"/>
      <c r="D11" s="78">
        <f>IF(D8="N",90-IF(F6="N",(D6+E6/60),(D6+E6/60)*-1)+IF(F4="N",(D4+E4/60),(D4+E4/60)*-1),90+IF(F6="N",(D6+E6/60),(D6+E6/60)*-1)-IF(F4="N",(D4+E4/60),(D4+E4/60)*-1))</f>
        <v>32.24666666666667</v>
      </c>
      <c r="E11" s="78"/>
      <c r="F11" s="24" t="s">
        <v>51</v>
      </c>
    </row>
  </sheetData>
  <sheetProtection sheet="1" objects="1" scenarios="1" selectLockedCells="1"/>
  <mergeCells count="2">
    <mergeCell ref="D11:E11"/>
    <mergeCell ref="A1:G1"/>
  </mergeCells>
  <printOptions horizontalCentered="1"/>
  <pageMargins left="0.75" right="0.75" top="2" bottom="1" header="0.5" footer="0.5"/>
  <pageSetup horizontalDpi="600" verticalDpi="600" orientation="portrait" scale="1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E9" sqref="E9"/>
    </sheetView>
  </sheetViews>
  <sheetFormatPr defaultColWidth="9.140625" defaultRowHeight="12.75"/>
  <cols>
    <col min="1" max="4" width="9.140625" style="10" customWidth="1"/>
    <col min="5" max="6" width="5.421875" style="10" customWidth="1"/>
    <col min="7" max="7" width="7.140625" style="10" customWidth="1"/>
    <col min="8" max="16384" width="9.140625" style="10" customWidth="1"/>
  </cols>
  <sheetData>
    <row r="1" spans="1:7" ht="18">
      <c r="A1" s="80" t="s">
        <v>82</v>
      </c>
      <c r="B1" s="80"/>
      <c r="C1" s="80"/>
      <c r="D1" s="80"/>
      <c r="E1" s="80"/>
      <c r="F1" s="80"/>
      <c r="G1" s="80"/>
    </row>
    <row r="3" spans="5:7" ht="12.75">
      <c r="E3" s="24" t="s">
        <v>51</v>
      </c>
      <c r="F3" s="24" t="s">
        <v>2</v>
      </c>
      <c r="G3" s="24"/>
    </row>
    <row r="4" spans="1:7" ht="12.75">
      <c r="A4" s="44" t="s">
        <v>83</v>
      </c>
      <c r="B4" s="44"/>
      <c r="C4" s="44"/>
      <c r="D4" s="44"/>
      <c r="E4" s="76">
        <v>32</v>
      </c>
      <c r="F4" s="76">
        <v>15</v>
      </c>
      <c r="G4" s="24"/>
    </row>
    <row r="5" spans="1:7" ht="12.75">
      <c r="A5" s="44"/>
      <c r="B5" s="44"/>
      <c r="C5" s="44"/>
      <c r="D5" s="44"/>
      <c r="E5" s="24"/>
      <c r="F5" s="24"/>
      <c r="G5" s="24"/>
    </row>
    <row r="6" spans="1:7" ht="12.75">
      <c r="A6" s="44" t="s">
        <v>85</v>
      </c>
      <c r="B6" s="44"/>
      <c r="C6" s="44"/>
      <c r="D6" s="44"/>
      <c r="E6" s="24" t="s">
        <v>51</v>
      </c>
      <c r="F6" s="24" t="s">
        <v>2</v>
      </c>
      <c r="G6" s="24" t="s">
        <v>8</v>
      </c>
    </row>
    <row r="7" spans="1:7" ht="12.75">
      <c r="A7" s="44" t="s">
        <v>84</v>
      </c>
      <c r="B7" s="44"/>
      <c r="C7" s="44"/>
      <c r="D7" s="44"/>
      <c r="E7" s="76">
        <v>8</v>
      </c>
      <c r="F7" s="76">
        <v>57.2</v>
      </c>
      <c r="G7" s="76" t="s">
        <v>81</v>
      </c>
    </row>
    <row r="8" spans="1:7" ht="12.75">
      <c r="A8" s="44"/>
      <c r="B8" s="44"/>
      <c r="C8" s="44"/>
      <c r="D8" s="44"/>
      <c r="E8" s="24"/>
      <c r="F8" s="24"/>
      <c r="G8" s="24"/>
    </row>
    <row r="9" spans="1:7" ht="12.75">
      <c r="A9" s="44" t="s">
        <v>79</v>
      </c>
      <c r="B9" s="44"/>
      <c r="C9" s="44"/>
      <c r="D9" s="44"/>
      <c r="E9" s="76" t="s">
        <v>81</v>
      </c>
      <c r="F9" s="24"/>
      <c r="G9" s="24"/>
    </row>
    <row r="10" spans="1:7" ht="12.75">
      <c r="A10" s="44"/>
      <c r="B10" s="44"/>
      <c r="C10" s="44"/>
      <c r="D10" s="44"/>
      <c r="E10" s="24"/>
      <c r="F10" s="24"/>
      <c r="G10" s="24"/>
    </row>
    <row r="11" spans="1:7" ht="12.75">
      <c r="A11" s="44" t="s">
        <v>86</v>
      </c>
      <c r="B11" s="44"/>
      <c r="C11" s="44"/>
      <c r="D11" s="44"/>
      <c r="E11" s="79" t="str">
        <f>IF(IF(E9="N",IF(G7="N",E7+F7/60,(E7+F7/60)*-1)+(E4+F4/60)-90,IF(G7="N",E7+F7/60,(E7+F7/60)*-1)-(E4+F4/60)+90)&lt;0,CONCATENATE(ROUND(ABS(IF(E9="N",IF(G7="N",E7+F7/60,(E7+F7/60)*-1)+(E4+F4/60)-90,IF(G7="N",E7+F7/60,(E7+F7/60)*-1)-(E4+F4/60)+90)),2),CHAR(176),"S"),CONCATENATE(ROUND(IF(E9="N",IF(G7="N",E7+F7/60,(E7+F7/60)*-1)+(E4+F4/60)-90,IF(G7="N",E7+F7/60,(E7+F7/60)*-1)-(E4+F4/60)+90),2),CHAR(176),"N"))</f>
        <v>48.8°N</v>
      </c>
      <c r="F11" s="79"/>
      <c r="G11" s="79"/>
    </row>
  </sheetData>
  <sheetProtection sheet="1" objects="1" scenarios="1" selectLockedCells="1"/>
  <mergeCells count="2">
    <mergeCell ref="E11:G11"/>
    <mergeCell ref="A1:G1"/>
  </mergeCells>
  <printOptions horizontalCentered="1"/>
  <pageMargins left="0.75" right="0.75" top="2" bottom="1" header="0.5" footer="0.5"/>
  <pageSetup horizontalDpi="600" verticalDpi="600" orientation="portrait" scale="1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G4" sqref="G4"/>
    </sheetView>
  </sheetViews>
  <sheetFormatPr defaultColWidth="9.140625" defaultRowHeight="12.75"/>
  <cols>
    <col min="1" max="4" width="9.140625" style="10" customWidth="1"/>
    <col min="5" max="5" width="4.8515625" style="10" customWidth="1"/>
    <col min="6" max="6" width="5.140625" style="10" customWidth="1"/>
    <col min="7" max="7" width="4.00390625" style="10" customWidth="1"/>
    <col min="8" max="8" width="0.13671875" style="10" customWidth="1"/>
    <col min="9" max="9" width="6.57421875" style="10" customWidth="1"/>
    <col min="10" max="16384" width="9.140625" style="10" customWidth="1"/>
  </cols>
  <sheetData>
    <row r="1" spans="1:9" ht="16.5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</row>
    <row r="2" spans="1:8" ht="26.25" customHeight="1">
      <c r="A2" s="44" t="s">
        <v>88</v>
      </c>
      <c r="B2" s="44"/>
      <c r="C2" s="44"/>
      <c r="D2" s="44"/>
      <c r="E2" s="24" t="s">
        <v>51</v>
      </c>
      <c r="F2" s="24" t="s">
        <v>2</v>
      </c>
      <c r="G2" s="81" t="s">
        <v>91</v>
      </c>
      <c r="H2" s="81"/>
    </row>
    <row r="3" spans="1:8" ht="12.75">
      <c r="A3" s="44" t="s">
        <v>9</v>
      </c>
      <c r="B3" s="44"/>
      <c r="C3" s="44"/>
      <c r="D3" s="44"/>
      <c r="E3" s="76">
        <v>48</v>
      </c>
      <c r="F3" s="76">
        <v>48</v>
      </c>
      <c r="G3" s="76" t="s">
        <v>18</v>
      </c>
      <c r="H3" s="24"/>
    </row>
    <row r="4" spans="1:8" ht="12.75">
      <c r="A4" s="44" t="s">
        <v>10</v>
      </c>
      <c r="B4" s="44"/>
      <c r="C4" s="44"/>
      <c r="D4" s="44"/>
      <c r="E4" s="76">
        <v>1</v>
      </c>
      <c r="F4" s="76">
        <v>9.75</v>
      </c>
      <c r="G4" s="76" t="s">
        <v>92</v>
      </c>
      <c r="H4" s="24"/>
    </row>
    <row r="5" spans="1:8" ht="12.75">
      <c r="A5" s="44"/>
      <c r="B5" s="44"/>
      <c r="C5" s="44"/>
      <c r="D5" s="44"/>
      <c r="E5" s="24" t="s">
        <v>1</v>
      </c>
      <c r="F5" s="24" t="s">
        <v>2</v>
      </c>
      <c r="G5" s="24"/>
      <c r="H5" s="24"/>
    </row>
    <row r="6" spans="1:8" ht="12.75">
      <c r="A6" s="44" t="s">
        <v>73</v>
      </c>
      <c r="B6" s="44"/>
      <c r="C6" s="44"/>
      <c r="D6" s="44"/>
      <c r="E6" s="76">
        <v>11</v>
      </c>
      <c r="F6" s="76">
        <v>50</v>
      </c>
      <c r="G6" s="24"/>
      <c r="H6" s="24"/>
    </row>
    <row r="7" spans="1:8" ht="12.75">
      <c r="A7" s="44"/>
      <c r="B7" s="44"/>
      <c r="C7" s="44"/>
      <c r="D7" s="44"/>
      <c r="E7" s="24" t="s">
        <v>2</v>
      </c>
      <c r="F7" s="24" t="s">
        <v>3</v>
      </c>
      <c r="G7" s="24"/>
      <c r="H7" s="24"/>
    </row>
    <row r="8" spans="1:8" ht="12.75">
      <c r="A8" s="44" t="s">
        <v>67</v>
      </c>
      <c r="B8" s="44"/>
      <c r="C8" s="44"/>
      <c r="D8" s="44"/>
      <c r="E8" s="76">
        <v>4</v>
      </c>
      <c r="F8" s="76">
        <v>39</v>
      </c>
      <c r="G8" s="24"/>
      <c r="H8" s="24"/>
    </row>
    <row r="9" spans="1:8" ht="12.75">
      <c r="A9" s="44" t="s">
        <v>89</v>
      </c>
      <c r="B9" s="44"/>
      <c r="C9" s="44"/>
      <c r="D9" s="44"/>
      <c r="E9" s="24"/>
      <c r="F9" s="76" t="s">
        <v>18</v>
      </c>
      <c r="G9" s="24"/>
      <c r="H9" s="24"/>
    </row>
    <row r="10" spans="1:8" ht="12.75">
      <c r="A10" s="44"/>
      <c r="B10" s="44"/>
      <c r="C10" s="44"/>
      <c r="D10" s="44"/>
      <c r="E10" s="24"/>
      <c r="F10" s="24"/>
      <c r="G10" s="24"/>
      <c r="H10" s="24"/>
    </row>
    <row r="11" spans="1:8" ht="12.75">
      <c r="A11" s="44" t="s">
        <v>90</v>
      </c>
      <c r="B11" s="44"/>
      <c r="C11" s="44"/>
      <c r="D11" s="44"/>
      <c r="E11" s="58">
        <f>INT(ABS((E6+F6/60-(12-IF(F9="N",(E8+F8/60)/60,((E8+F8/60)*-1)/60)))*15))</f>
        <v>1</v>
      </c>
      <c r="F11" s="58">
        <f>(ABS((E6+F6/60-(12-IF(F9="N",(E8+F8/60)/60,((E8+F8/60)*-1)/60)))*15)-(E11))*60</f>
        <v>20.249999999998956</v>
      </c>
      <c r="G11" s="58" t="str">
        <f>G4</f>
        <v>E</v>
      </c>
      <c r="H11" s="24"/>
    </row>
    <row r="12" spans="1:4" ht="12.75">
      <c r="A12" s="44"/>
      <c r="B12" s="44"/>
      <c r="C12" s="44"/>
      <c r="D12" s="44"/>
    </row>
  </sheetData>
  <sheetProtection sheet="1" objects="1" scenarios="1" selectLockedCells="1"/>
  <mergeCells count="2">
    <mergeCell ref="G2:H2"/>
    <mergeCell ref="A1:I1"/>
  </mergeCells>
  <printOptions horizontalCentered="1"/>
  <pageMargins left="0.75" right="0.75" top="2" bottom="1" header="0.5" footer="0.5"/>
  <pageSetup horizontalDpi="600" verticalDpi="600" orientation="portrait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VTAS,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SIGHT MASTER</dc:title>
  <dc:subject/>
  <dc:creator>Capt. Reynaldo I. Valeros Jr</dc:creator>
  <cp:keywords/>
  <dc:description/>
  <cp:lastModifiedBy>ALEX</cp:lastModifiedBy>
  <cp:lastPrinted>2009-10-20T08:08:35Z</cp:lastPrinted>
  <dcterms:created xsi:type="dcterms:W3CDTF">1996-10-14T23:33:28Z</dcterms:created>
  <dcterms:modified xsi:type="dcterms:W3CDTF">2009-11-02T11:01:48Z</dcterms:modified>
  <cp:category/>
  <cp:version/>
  <cp:contentType/>
  <cp:contentStatus/>
</cp:coreProperties>
</file>