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32" yWindow="65524" windowWidth="6120" windowHeight="6816" activeTab="0"/>
  </bookViews>
  <sheets>
    <sheet name="Azimut" sheetId="1" r:id="rId1"/>
    <sheet name="Logbook" sheetId="2" r:id="rId2"/>
  </sheets>
  <definedNames>
    <definedName name="first">'Azimut'!$A$2</definedName>
    <definedName name="last">'Azimut'!$I$22</definedName>
    <definedName name="mark1">'Logbook'!#REF!</definedName>
    <definedName name="mark2">'Logbook'!#REF!</definedName>
    <definedName name="mark3">'Logbook'!#REF!</definedName>
    <definedName name="_xlnm.Print_Area" localSheetId="0">'Azimut'!$B$2:$I$22</definedName>
  </definedNames>
  <calcPr fullCalcOnLoad="1"/>
</workbook>
</file>

<file path=xl/sharedStrings.xml><?xml version="1.0" encoding="utf-8"?>
<sst xmlns="http://schemas.openxmlformats.org/spreadsheetml/2006/main" count="79" uniqueCount="67">
  <si>
    <t>Enter the following datas :</t>
  </si>
  <si>
    <t>N.Off:name:</t>
  </si>
  <si>
    <t>Date :</t>
  </si>
  <si>
    <t>Time UTC :</t>
  </si>
  <si>
    <t>Position</t>
  </si>
  <si>
    <t>Latitude :</t>
  </si>
  <si>
    <t>Calc.lat</t>
  </si>
  <si>
    <t>Cos lat</t>
  </si>
  <si>
    <t>Longitude :</t>
  </si>
  <si>
    <t>Calc Lon</t>
  </si>
  <si>
    <t>Speed :</t>
  </si>
  <si>
    <t>Gyro CRS :</t>
  </si>
  <si>
    <t>Cos g.</t>
  </si>
  <si>
    <t>Magn CRS :</t>
  </si>
  <si>
    <t>from chart</t>
  </si>
  <si>
    <t>Magn decl. :</t>
  </si>
  <si>
    <t>Gyro bearing :</t>
  </si>
  <si>
    <t>From</t>
  </si>
  <si>
    <t>at</t>
  </si>
  <si>
    <t>GHA :</t>
  </si>
  <si>
    <t>GHA d°</t>
  </si>
  <si>
    <t>differ.</t>
  </si>
  <si>
    <t>Brown's</t>
  </si>
  <si>
    <t>d°</t>
  </si>
  <si>
    <t>Nautical</t>
  </si>
  <si>
    <t>Decl.:</t>
  </si>
  <si>
    <t>Decl d°</t>
  </si>
  <si>
    <t>LogB</t>
  </si>
  <si>
    <t>Almanac</t>
  </si>
  <si>
    <t>RESULTS :</t>
  </si>
  <si>
    <t>A</t>
  </si>
  <si>
    <t>B</t>
  </si>
  <si>
    <t>C</t>
  </si>
  <si>
    <t>LogC</t>
  </si>
  <si>
    <t>LogCotAZ</t>
  </si>
  <si>
    <t>Q.Az</t>
  </si>
  <si>
    <t>AZIMUT =</t>
  </si>
  <si>
    <t>LHA :</t>
  </si>
  <si>
    <t xml:space="preserve">LHA </t>
  </si>
  <si>
    <t>LHAcal</t>
  </si>
  <si>
    <t>Declination :</t>
  </si>
  <si>
    <t>Decl</t>
  </si>
  <si>
    <t>Speed lat.error corr. :</t>
  </si>
  <si>
    <t>SIN cor</t>
  </si>
  <si>
    <t>Gyro variation :</t>
  </si>
  <si>
    <t>Gyro error :</t>
  </si>
  <si>
    <t>Magn. compass dev. :</t>
  </si>
  <si>
    <t>N.off. name</t>
  </si>
  <si>
    <t>Date</t>
  </si>
  <si>
    <t>Time UTC</t>
  </si>
  <si>
    <t>Observ</t>
  </si>
  <si>
    <t>LHA</t>
  </si>
  <si>
    <t>Latitude</t>
  </si>
  <si>
    <t>Longitude</t>
  </si>
  <si>
    <t>Magn.CRS</t>
  </si>
  <si>
    <t>Giro CRS</t>
  </si>
  <si>
    <t>Giro bearing</t>
  </si>
  <si>
    <t>Azimut</t>
  </si>
  <si>
    <t>Giro var.</t>
  </si>
  <si>
    <t>Chart decl.</t>
  </si>
  <si>
    <t>M.com dev.</t>
  </si>
  <si>
    <t>Speed err. correction</t>
  </si>
  <si>
    <t>Giro error</t>
  </si>
  <si>
    <t>N</t>
  </si>
  <si>
    <t>W</t>
  </si>
  <si>
    <t>Atabu</t>
  </si>
  <si>
    <t>Moon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</si>
</sst>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\°"/>
    <numFmt numFmtId="181" formatCode="00\°"/>
    <numFmt numFmtId="182" formatCode="00.00\`"/>
    <numFmt numFmtId="183" formatCode="0.0"/>
    <numFmt numFmtId="184" formatCode="0.0\°"/>
    <numFmt numFmtId="185" formatCode="000.0\°"/>
    <numFmt numFmtId="186" formatCode="0.0000"/>
    <numFmt numFmtId="187" formatCode="00.0\`"/>
    <numFmt numFmtId="188" formatCode="00"/>
    <numFmt numFmtId="189" formatCode="0.0\`"/>
    <numFmt numFmtId="190" formatCode="0.00\`"/>
    <numFmt numFmtId="191" formatCode="0\ &quot;sm&quot;"/>
    <numFmt numFmtId="192" formatCode="0.0\ \k\n"/>
    <numFmt numFmtId="193" formatCode="0\ \d"/>
    <numFmt numFmtId="194" formatCode="0&quot; h&quot;"/>
    <numFmt numFmtId="195" formatCode="0&quot; min&quot;"/>
    <numFmt numFmtId="196" formatCode="&quot;DM&quot;#,##0;\-&quot;DM&quot;#,##0"/>
    <numFmt numFmtId="197" formatCode="&quot;DM&quot;#,##0;[Red]\-&quot;DM&quot;#,##0"/>
    <numFmt numFmtId="198" formatCode="&quot;DM&quot;#,##0.00;\-&quot;DM&quot;#,##0.00"/>
    <numFmt numFmtId="199" formatCode="&quot;DM&quot;#,##0.00;[Red]\-&quot;DM&quot;#,##0.00"/>
    <numFmt numFmtId="200" formatCode="_-&quot;DM&quot;* #,##0_-;\-&quot;DM&quot;* #,##0_-;_-&quot;DM&quot;* &quot;-&quot;_-;_-@_-"/>
    <numFmt numFmtId="201" formatCode="_-&quot;DM&quot;* #,##0.00_-;\-&quot;DM&quot;* #,##0.00_-;_-&quot;DM&quot;* &quot;-&quot;??_-;_-@_-"/>
    <numFmt numFmtId="202" formatCode="0\°"/>
    <numFmt numFmtId="203" formatCode="0;\ h"/>
    <numFmt numFmtId="204" formatCode="0;&quot;h&quot;"/>
    <numFmt numFmtId="205" formatCode="0&quot;h&quot;"/>
    <numFmt numFmtId="206" formatCode="0.0&quot; h&quot;"/>
    <numFmt numFmtId="207" formatCode="0.0\ &quot;sm&quot;"/>
    <numFmt numFmtId="208" formatCode="0\`"/>
    <numFmt numFmtId="209" formatCode="#,000\°"/>
    <numFmt numFmtId="210" formatCode="00.0\°"/>
    <numFmt numFmtId="211" formatCode="0.000"/>
    <numFmt numFmtId="212" formatCode="00.0"/>
    <numFmt numFmtId="213" formatCode="d/m/yy"/>
    <numFmt numFmtId="214" formatCode="000.00\°"/>
    <numFmt numFmtId="215" formatCode="d/m/yy\ h:mm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Times New Roman"/>
      <family val="1"/>
    </font>
    <font>
      <sz val="10"/>
      <color indexed="26"/>
      <name val="Times New Roman"/>
      <family val="1"/>
    </font>
    <font>
      <sz val="20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9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8"/>
      <color indexed="26"/>
      <name val="Times New Roman"/>
      <family val="1"/>
    </font>
    <font>
      <sz val="9"/>
      <color indexed="41"/>
      <name val="Times New Roman"/>
      <family val="1"/>
    </font>
    <font>
      <sz val="10"/>
      <color indexed="56"/>
      <name val="Times New Roman"/>
      <family val="1"/>
    </font>
    <font>
      <sz val="9"/>
      <color indexed="18"/>
      <name val="Times New Roman"/>
      <family val="1"/>
    </font>
    <font>
      <sz val="8"/>
      <color indexed="9"/>
      <name val="Times New Roman"/>
      <family val="1"/>
    </font>
    <font>
      <b/>
      <sz val="10"/>
      <color indexed="60"/>
      <name val="Arial"/>
      <family val="2"/>
    </font>
    <font>
      <b/>
      <sz val="2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centerContinuous"/>
      <protection hidden="1"/>
    </xf>
    <xf numFmtId="0" fontId="8" fillId="2" borderId="1" xfId="0" applyFont="1" applyFill="1" applyBorder="1" applyAlignment="1" applyProtection="1">
      <alignment horizontal="centerContinuous"/>
      <protection hidden="1"/>
    </xf>
    <xf numFmtId="0" fontId="6" fillId="2" borderId="2" xfId="0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Continuous"/>
    </xf>
    <xf numFmtId="0" fontId="7" fillId="2" borderId="5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5" fillId="3" borderId="6" xfId="0" applyFont="1" applyFill="1" applyBorder="1" applyAlignment="1" applyProtection="1">
      <alignment/>
      <protection hidden="1"/>
    </xf>
    <xf numFmtId="0" fontId="5" fillId="3" borderId="5" xfId="0" applyFont="1" applyFill="1" applyBorder="1" applyAlignment="1" applyProtection="1">
      <alignment/>
      <protection hidden="1"/>
    </xf>
    <xf numFmtId="0" fontId="5" fillId="3" borderId="5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horizontal="center" vertical="justify"/>
    </xf>
    <xf numFmtId="0" fontId="9" fillId="0" borderId="9" xfId="0" applyFont="1" applyBorder="1" applyAlignment="1">
      <alignment horizontal="centerContinuous" vertical="justify"/>
    </xf>
    <xf numFmtId="0" fontId="9" fillId="0" borderId="8" xfId="0" applyFont="1" applyBorder="1" applyAlignment="1">
      <alignment horizontal="centerContinuous" vertical="justify"/>
    </xf>
    <xf numFmtId="0" fontId="6" fillId="2" borderId="5" xfId="0" applyFont="1" applyFill="1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0" xfId="0" applyFont="1" applyFill="1" applyBorder="1" applyAlignment="1" applyProtection="1">
      <alignment horizontal="right"/>
      <protection hidden="1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14" fontId="11" fillId="2" borderId="0" xfId="0" applyNumberFormat="1" applyFont="1" applyFill="1" applyAlignment="1">
      <alignment horizontal="center"/>
    </xf>
    <xf numFmtId="0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/>
    </xf>
    <xf numFmtId="0" fontId="13" fillId="0" borderId="0" xfId="0" applyFont="1" applyAlignment="1">
      <alignment/>
    </xf>
    <xf numFmtId="0" fontId="9" fillId="0" borderId="8" xfId="0" applyFont="1" applyBorder="1" applyAlignment="1">
      <alignment vertical="center"/>
    </xf>
    <xf numFmtId="0" fontId="6" fillId="2" borderId="0" xfId="0" applyFont="1" applyFill="1" applyAlignment="1" applyProtection="1">
      <alignment horizontal="right"/>
      <protection hidden="1"/>
    </xf>
    <xf numFmtId="0" fontId="14" fillId="2" borderId="0" xfId="0" applyFont="1" applyFill="1" applyAlignment="1" applyProtection="1">
      <alignment horizontal="left" vertical="top"/>
      <protection hidden="1"/>
    </xf>
    <xf numFmtId="0" fontId="11" fillId="2" borderId="0" xfId="0" applyFont="1" applyFill="1" applyAlignment="1">
      <alignment/>
    </xf>
    <xf numFmtId="0" fontId="14" fillId="2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 horizontal="center"/>
      <protection hidden="1"/>
    </xf>
    <xf numFmtId="184" fontId="13" fillId="0" borderId="0" xfId="0" applyNumberFormat="1" applyFont="1" applyBorder="1" applyAlignment="1">
      <alignment horizontal="center"/>
    </xf>
    <xf numFmtId="0" fontId="15" fillId="4" borderId="0" xfId="0" applyFont="1" applyFill="1" applyAlignment="1" applyProtection="1">
      <alignment horizontal="centerContinuous"/>
      <protection hidden="1"/>
    </xf>
    <xf numFmtId="0" fontId="5" fillId="4" borderId="0" xfId="0" applyFont="1" applyFill="1" applyAlignment="1" applyProtection="1">
      <alignment horizontal="centerContinuous"/>
      <protection hidden="1"/>
    </xf>
    <xf numFmtId="0" fontId="16" fillId="2" borderId="0" xfId="0" applyFont="1" applyFill="1" applyBorder="1" applyAlignment="1" applyProtection="1">
      <alignment/>
      <protection hidden="1"/>
    </xf>
    <xf numFmtId="0" fontId="17" fillId="0" borderId="10" xfId="0" applyFont="1" applyBorder="1" applyAlignment="1" applyProtection="1">
      <alignment/>
      <protection locked="0"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 horizontal="centerContinuous"/>
    </xf>
    <xf numFmtId="0" fontId="17" fillId="0" borderId="10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/>
    </xf>
    <xf numFmtId="0" fontId="13" fillId="0" borderId="0" xfId="0" applyFont="1" applyBorder="1" applyAlignment="1">
      <alignment/>
    </xf>
    <xf numFmtId="14" fontId="13" fillId="0" borderId="0" xfId="0" applyNumberFormat="1" applyFont="1" applyBorder="1" applyAlignment="1">
      <alignment horizontal="center"/>
    </xf>
    <xf numFmtId="194" fontId="13" fillId="0" borderId="0" xfId="0" applyNumberFormat="1" applyFont="1" applyBorder="1" applyAlignment="1">
      <alignment/>
    </xf>
    <xf numFmtId="195" fontId="13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1" fontId="13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85" fontId="13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Continuous" vertical="center"/>
    </xf>
    <xf numFmtId="14" fontId="18" fillId="5" borderId="0" xfId="0" applyNumberFormat="1" applyFont="1" applyFill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5" fillId="6" borderId="0" xfId="0" applyFont="1" applyFill="1" applyAlignment="1" applyProtection="1">
      <alignment/>
      <protection hidden="1"/>
    </xf>
    <xf numFmtId="14" fontId="12" fillId="0" borderId="11" xfId="0" applyNumberFormat="1" applyFont="1" applyBorder="1" applyAlignment="1" applyProtection="1">
      <alignment horizontal="center"/>
      <protection hidden="1"/>
    </xf>
    <xf numFmtId="194" fontId="12" fillId="0" borderId="12" xfId="0" applyNumberFormat="1" applyFont="1" applyBorder="1" applyAlignment="1" applyProtection="1">
      <alignment/>
      <protection hidden="1"/>
    </xf>
    <xf numFmtId="195" fontId="12" fillId="0" borderId="11" xfId="0" applyNumberFormat="1" applyFont="1" applyBorder="1" applyAlignment="1" applyProtection="1">
      <alignment/>
      <protection hidden="1"/>
    </xf>
    <xf numFmtId="195" fontId="12" fillId="0" borderId="11" xfId="0" applyNumberFormat="1" applyFont="1" applyBorder="1" applyAlignment="1" applyProtection="1">
      <alignment horizontal="center"/>
      <protection hidden="1"/>
    </xf>
    <xf numFmtId="180" fontId="12" fillId="0" borderId="12" xfId="0" applyNumberFormat="1" applyFont="1" applyBorder="1" applyAlignment="1" applyProtection="1">
      <alignment/>
      <protection hidden="1"/>
    </xf>
    <xf numFmtId="187" fontId="12" fillId="0" borderId="11" xfId="0" applyNumberFormat="1" applyFont="1" applyBorder="1" applyAlignment="1" applyProtection="1">
      <alignment/>
      <protection hidden="1"/>
    </xf>
    <xf numFmtId="181" fontId="12" fillId="0" borderId="12" xfId="0" applyNumberFormat="1" applyFont="1" applyBorder="1" applyAlignment="1" applyProtection="1">
      <alignment/>
      <protection hidden="1"/>
    </xf>
    <xf numFmtId="187" fontId="12" fillId="0" borderId="12" xfId="0" applyNumberFormat="1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NumberFormat="1" applyFont="1" applyBorder="1" applyAlignment="1" applyProtection="1">
      <alignment/>
      <protection hidden="1"/>
    </xf>
    <xf numFmtId="180" fontId="12" fillId="0" borderId="11" xfId="0" applyNumberFormat="1" applyFont="1" applyBorder="1" applyAlignment="1" applyProtection="1">
      <alignment/>
      <protection hidden="1"/>
    </xf>
    <xf numFmtId="185" fontId="12" fillId="0" borderId="11" xfId="0" applyNumberFormat="1" applyFont="1" applyBorder="1" applyAlignment="1" applyProtection="1">
      <alignment/>
      <protection hidden="1"/>
    </xf>
    <xf numFmtId="184" fontId="12" fillId="0" borderId="11" xfId="0" applyNumberFormat="1" applyFont="1" applyBorder="1" applyAlignment="1" applyProtection="1">
      <alignment/>
      <protection hidden="1"/>
    </xf>
    <xf numFmtId="184" fontId="12" fillId="0" borderId="12" xfId="0" applyNumberFormat="1" applyFont="1" applyBorder="1" applyAlignment="1" applyProtection="1">
      <alignment horizontal="center"/>
      <protection hidden="1"/>
    </xf>
    <xf numFmtId="184" fontId="12" fillId="0" borderId="11" xfId="0" applyNumberFormat="1" applyFont="1" applyBorder="1" applyAlignment="1" applyProtection="1">
      <alignment horizontal="center"/>
      <protection hidden="1"/>
    </xf>
    <xf numFmtId="194" fontId="5" fillId="3" borderId="0" xfId="0" applyNumberFormat="1" applyFont="1" applyFill="1" applyBorder="1" applyAlignment="1" applyProtection="1">
      <alignment horizontal="center"/>
      <protection locked="0"/>
    </xf>
    <xf numFmtId="187" fontId="5" fillId="3" borderId="13" xfId="0" applyNumberFormat="1" applyFont="1" applyFill="1" applyBorder="1" applyAlignment="1" applyProtection="1">
      <alignment/>
      <protection locked="0"/>
    </xf>
    <xf numFmtId="187" fontId="5" fillId="3" borderId="12" xfId="0" applyNumberFormat="1" applyFont="1" applyFill="1" applyBorder="1" applyAlignment="1" applyProtection="1">
      <alignment/>
      <protection locked="0"/>
    </xf>
    <xf numFmtId="180" fontId="5" fillId="3" borderId="14" xfId="0" applyNumberFormat="1" applyFont="1" applyFill="1" applyBorder="1" applyAlignment="1" applyProtection="1">
      <alignment/>
      <protection locked="0"/>
    </xf>
    <xf numFmtId="210" fontId="5" fillId="3" borderId="12" xfId="0" applyNumberFormat="1" applyFont="1" applyFill="1" applyBorder="1" applyAlignment="1" applyProtection="1">
      <alignment/>
      <protection locked="0"/>
    </xf>
    <xf numFmtId="181" fontId="5" fillId="3" borderId="14" xfId="0" applyNumberFormat="1" applyFont="1" applyFill="1" applyBorder="1" applyAlignment="1" applyProtection="1">
      <alignment/>
      <protection locked="0"/>
    </xf>
    <xf numFmtId="181" fontId="5" fillId="3" borderId="12" xfId="0" applyNumberFormat="1" applyFont="1" applyFill="1" applyBorder="1" applyAlignment="1" applyProtection="1">
      <alignment/>
      <protection locked="0"/>
    </xf>
    <xf numFmtId="187" fontId="5" fillId="7" borderId="14" xfId="0" applyNumberFormat="1" applyFont="1" applyFill="1" applyBorder="1" applyAlignment="1" applyProtection="1">
      <alignment/>
      <protection locked="0"/>
    </xf>
    <xf numFmtId="187" fontId="5" fillId="7" borderId="12" xfId="0" applyNumberFormat="1" applyFont="1" applyFill="1" applyBorder="1" applyAlignment="1" applyProtection="1">
      <alignment/>
      <protection locked="0"/>
    </xf>
    <xf numFmtId="0" fontId="5" fillId="3" borderId="15" xfId="0" applyFont="1" applyFill="1" applyBorder="1" applyAlignment="1" applyProtection="1">
      <alignment/>
      <protection locked="0"/>
    </xf>
    <xf numFmtId="0" fontId="5" fillId="3" borderId="16" xfId="0" applyFont="1" applyFill="1" applyBorder="1" applyAlignment="1" applyProtection="1">
      <alignment/>
      <protection locked="0"/>
    </xf>
    <xf numFmtId="185" fontId="20" fillId="2" borderId="0" xfId="0" applyNumberFormat="1" applyFont="1" applyFill="1" applyBorder="1" applyAlignment="1" applyProtection="1">
      <alignment horizontal="centerContinuous"/>
      <protection hidden="1"/>
    </xf>
    <xf numFmtId="0" fontId="20" fillId="2" borderId="0" xfId="0" applyFont="1" applyFill="1" applyBorder="1" applyAlignment="1" applyProtection="1">
      <alignment horizontal="right"/>
      <protection hidden="1"/>
    </xf>
    <xf numFmtId="0" fontId="21" fillId="3" borderId="13" xfId="0" applyFont="1" applyFill="1" applyBorder="1" applyAlignment="1" applyProtection="1">
      <alignment/>
      <protection hidden="1"/>
    </xf>
    <xf numFmtId="0" fontId="21" fillId="3" borderId="17" xfId="0" applyFont="1" applyFill="1" applyBorder="1" applyAlignment="1" applyProtection="1">
      <alignment horizontal="right"/>
      <protection hidden="1"/>
    </xf>
    <xf numFmtId="180" fontId="21" fillId="3" borderId="13" xfId="0" applyNumberFormat="1" applyFont="1" applyFill="1" applyBorder="1" applyAlignment="1" applyProtection="1">
      <alignment/>
      <protection hidden="1"/>
    </xf>
    <xf numFmtId="187" fontId="21" fillId="3" borderId="13" xfId="0" applyNumberFormat="1" applyFont="1" applyFill="1" applyBorder="1" applyAlignment="1" applyProtection="1">
      <alignment/>
      <protection hidden="1"/>
    </xf>
    <xf numFmtId="0" fontId="21" fillId="3" borderId="18" xfId="0" applyFont="1" applyFill="1" applyBorder="1" applyAlignment="1" applyProtection="1">
      <alignment/>
      <protection hidden="1"/>
    </xf>
    <xf numFmtId="0" fontId="21" fillId="3" borderId="14" xfId="0" applyFont="1" applyFill="1" applyBorder="1" applyAlignment="1" applyProtection="1">
      <alignment/>
      <protection hidden="1"/>
    </xf>
    <xf numFmtId="0" fontId="21" fillId="3" borderId="19" xfId="0" applyFont="1" applyFill="1" applyBorder="1" applyAlignment="1" applyProtection="1">
      <alignment horizontal="right"/>
      <protection hidden="1"/>
    </xf>
    <xf numFmtId="181" fontId="21" fillId="3" borderId="14" xfId="0" applyNumberFormat="1" applyFont="1" applyFill="1" applyBorder="1" applyAlignment="1" applyProtection="1">
      <alignment/>
      <protection hidden="1"/>
    </xf>
    <xf numFmtId="187" fontId="21" fillId="3" borderId="14" xfId="0" applyNumberFormat="1" applyFont="1" applyFill="1" applyBorder="1" applyAlignment="1" applyProtection="1">
      <alignment/>
      <protection hidden="1"/>
    </xf>
    <xf numFmtId="0" fontId="21" fillId="3" borderId="15" xfId="0" applyFont="1" applyFill="1" applyBorder="1" applyAlignment="1" applyProtection="1">
      <alignment/>
      <protection hidden="1"/>
    </xf>
    <xf numFmtId="0" fontId="21" fillId="3" borderId="14" xfId="0" applyFont="1" applyFill="1" applyBorder="1" applyAlignment="1" applyProtection="1">
      <alignment horizontal="right"/>
      <protection hidden="1"/>
    </xf>
    <xf numFmtId="184" fontId="21" fillId="3" borderId="14" xfId="0" applyNumberFormat="1" applyFont="1" applyFill="1" applyBorder="1" applyAlignment="1" applyProtection="1">
      <alignment/>
      <protection hidden="1"/>
    </xf>
    <xf numFmtId="0" fontId="21" fillId="3" borderId="0" xfId="0" applyFont="1" applyFill="1" applyBorder="1" applyAlignment="1" applyProtection="1">
      <alignment/>
      <protection hidden="1"/>
    </xf>
    <xf numFmtId="0" fontId="21" fillId="3" borderId="1" xfId="0" applyFont="1" applyFill="1" applyBorder="1" applyAlignment="1" applyProtection="1">
      <alignment/>
      <protection hidden="1"/>
    </xf>
    <xf numFmtId="210" fontId="21" fillId="3" borderId="14" xfId="0" applyNumberFormat="1" applyFont="1" applyFill="1" applyBorder="1" applyAlignment="1" applyProtection="1">
      <alignment/>
      <protection hidden="1"/>
    </xf>
    <xf numFmtId="0" fontId="22" fillId="3" borderId="0" xfId="0" applyFont="1" applyFill="1" applyBorder="1" applyAlignment="1" applyProtection="1">
      <alignment/>
      <protection hidden="1"/>
    </xf>
    <xf numFmtId="0" fontId="21" fillId="3" borderId="20" xfId="0" applyFont="1" applyFill="1" applyBorder="1" applyAlignment="1" applyProtection="1">
      <alignment horizontal="right"/>
      <protection hidden="1"/>
    </xf>
    <xf numFmtId="0" fontId="21" fillId="3" borderId="21" xfId="0" applyFont="1" applyFill="1" applyBorder="1" applyAlignment="1" applyProtection="1">
      <alignment horizontal="right"/>
      <protection hidden="1"/>
    </xf>
    <xf numFmtId="210" fontId="21" fillId="3" borderId="20" xfId="0" applyNumberFormat="1" applyFont="1" applyFill="1" applyBorder="1" applyAlignment="1" applyProtection="1">
      <alignment/>
      <protection hidden="1"/>
    </xf>
    <xf numFmtId="0" fontId="22" fillId="3" borderId="20" xfId="0" applyFont="1" applyFill="1" applyBorder="1" applyAlignment="1" applyProtection="1">
      <alignment/>
      <protection hidden="1"/>
    </xf>
    <xf numFmtId="0" fontId="21" fillId="3" borderId="22" xfId="0" applyFont="1" applyFill="1" applyBorder="1" applyAlignment="1" applyProtection="1">
      <alignment/>
      <protection hidden="1"/>
    </xf>
    <xf numFmtId="181" fontId="5" fillId="7" borderId="13" xfId="0" applyNumberFormat="1" applyFont="1" applyFill="1" applyBorder="1" applyAlignment="1" applyProtection="1">
      <alignment/>
      <protection locked="0"/>
    </xf>
    <xf numFmtId="180" fontId="5" fillId="7" borderId="12" xfId="0" applyNumberFormat="1" applyFont="1" applyFill="1" applyBorder="1" applyAlignment="1" applyProtection="1">
      <alignment/>
      <protection locked="0"/>
    </xf>
    <xf numFmtId="0" fontId="5" fillId="7" borderId="23" xfId="0" applyFont="1" applyFill="1" applyBorder="1" applyAlignment="1" applyProtection="1">
      <alignment horizontal="center"/>
      <protection locked="0"/>
    </xf>
    <xf numFmtId="0" fontId="5" fillId="7" borderId="16" xfId="0" applyFont="1" applyFill="1" applyBorder="1" applyAlignment="1" applyProtection="1">
      <alignment horizontal="center"/>
      <protection locked="0"/>
    </xf>
    <xf numFmtId="0" fontId="21" fillId="8" borderId="6" xfId="0" applyFont="1" applyFill="1" applyBorder="1" applyAlignment="1" applyProtection="1">
      <alignment horizontal="centerContinuous"/>
      <protection hidden="1"/>
    </xf>
    <xf numFmtId="0" fontId="21" fillId="8" borderId="24" xfId="0" applyFont="1" applyFill="1" applyBorder="1" applyAlignment="1" applyProtection="1">
      <alignment horizontal="centerContinuous"/>
      <protection hidden="1"/>
    </xf>
    <xf numFmtId="0" fontId="21" fillId="8" borderId="13" xfId="0" applyFont="1" applyFill="1" applyBorder="1" applyAlignment="1" applyProtection="1">
      <alignment horizontal="centerContinuous"/>
      <protection hidden="1"/>
    </xf>
    <xf numFmtId="0" fontId="21" fillId="8" borderId="13" xfId="0" applyFont="1" applyFill="1" applyBorder="1" applyAlignment="1" applyProtection="1">
      <alignment horizontal="right"/>
      <protection hidden="1"/>
    </xf>
    <xf numFmtId="0" fontId="21" fillId="8" borderId="5" xfId="0" applyFont="1" applyFill="1" applyBorder="1" applyAlignment="1" applyProtection="1">
      <alignment horizontal="centerContinuous"/>
      <protection hidden="1"/>
    </xf>
    <xf numFmtId="0" fontId="21" fillId="8" borderId="0" xfId="0" applyFont="1" applyFill="1" applyBorder="1" applyAlignment="1" applyProtection="1">
      <alignment horizontal="centerContinuous"/>
      <protection hidden="1"/>
    </xf>
    <xf numFmtId="0" fontId="21" fillId="8" borderId="10" xfId="0" applyFont="1" applyFill="1" applyBorder="1" applyAlignment="1" applyProtection="1">
      <alignment horizontal="right"/>
      <protection hidden="1"/>
    </xf>
    <xf numFmtId="0" fontId="21" fillId="8" borderId="25" xfId="0" applyFont="1" applyFill="1" applyBorder="1" applyAlignment="1" applyProtection="1">
      <alignment horizontal="center"/>
      <protection hidden="1"/>
    </xf>
    <xf numFmtId="0" fontId="21" fillId="8" borderId="13" xfId="0" applyFont="1" applyFill="1" applyBorder="1" applyAlignment="1" applyProtection="1">
      <alignment horizontal="center"/>
      <protection hidden="1"/>
    </xf>
    <xf numFmtId="0" fontId="21" fillId="8" borderId="17" xfId="0" applyFont="1" applyFill="1" applyBorder="1" applyAlignment="1" applyProtection="1">
      <alignment horizontal="right"/>
      <protection hidden="1"/>
    </xf>
    <xf numFmtId="0" fontId="21" fillId="8" borderId="26" xfId="0" applyFont="1" applyFill="1" applyBorder="1" applyAlignment="1" applyProtection="1">
      <alignment horizontal="center"/>
      <protection hidden="1"/>
    </xf>
    <xf numFmtId="0" fontId="21" fillId="8" borderId="12" xfId="0" applyFont="1" applyFill="1" applyBorder="1" applyAlignment="1" applyProtection="1">
      <alignment horizontal="center"/>
      <protection hidden="1"/>
    </xf>
    <xf numFmtId="0" fontId="21" fillId="8" borderId="11" xfId="0" applyFont="1" applyFill="1" applyBorder="1" applyAlignment="1" applyProtection="1">
      <alignment horizontal="center"/>
      <protection hidden="1"/>
    </xf>
    <xf numFmtId="0" fontId="21" fillId="8" borderId="11" xfId="0" applyFont="1" applyFill="1" applyBorder="1" applyAlignment="1" applyProtection="1">
      <alignment horizontal="right"/>
      <protection hidden="1"/>
    </xf>
    <xf numFmtId="0" fontId="21" fillId="8" borderId="5" xfId="0" applyFont="1" applyFill="1" applyBorder="1" applyAlignment="1" applyProtection="1">
      <alignment horizontal="center"/>
      <protection hidden="1"/>
    </xf>
    <xf numFmtId="0" fontId="21" fillId="8" borderId="0" xfId="0" applyFont="1" applyFill="1" applyBorder="1" applyAlignment="1" applyProtection="1">
      <alignment horizontal="center"/>
      <protection hidden="1"/>
    </xf>
    <xf numFmtId="0" fontId="21" fillId="8" borderId="14" xfId="0" applyFont="1" applyFill="1" applyBorder="1" applyAlignment="1" applyProtection="1">
      <alignment horizontal="center"/>
      <protection hidden="1"/>
    </xf>
    <xf numFmtId="0" fontId="21" fillId="8" borderId="19" xfId="0" applyFont="1" applyFill="1" applyBorder="1" applyAlignment="1" applyProtection="1">
      <alignment horizontal="right"/>
      <protection hidden="1"/>
    </xf>
    <xf numFmtId="0" fontId="21" fillId="8" borderId="27" xfId="0" applyFont="1" applyFill="1" applyBorder="1" applyAlignment="1" applyProtection="1">
      <alignment horizontal="center"/>
      <protection hidden="1"/>
    </xf>
    <xf numFmtId="0" fontId="21" fillId="8" borderId="28" xfId="0" applyFont="1" applyFill="1" applyBorder="1" applyAlignment="1" applyProtection="1">
      <alignment horizontal="center"/>
      <protection hidden="1"/>
    </xf>
    <xf numFmtId="0" fontId="21" fillId="8" borderId="29" xfId="0" applyFont="1" applyFill="1" applyBorder="1" applyAlignment="1" applyProtection="1">
      <alignment horizontal="center"/>
      <protection hidden="1"/>
    </xf>
    <xf numFmtId="194" fontId="21" fillId="8" borderId="14" xfId="0" applyNumberFormat="1" applyFont="1" applyFill="1" applyBorder="1" applyAlignment="1" applyProtection="1">
      <alignment horizontal="center"/>
      <protection hidden="1"/>
    </xf>
    <xf numFmtId="14" fontId="21" fillId="8" borderId="14" xfId="0" applyNumberFormat="1" applyFont="1" applyFill="1" applyBorder="1" applyAlignment="1" applyProtection="1">
      <alignment horizontal="center"/>
      <protection hidden="1"/>
    </xf>
    <xf numFmtId="14" fontId="21" fillId="8" borderId="12" xfId="0" applyNumberFormat="1" applyFont="1" applyFill="1" applyBorder="1" applyAlignment="1" applyProtection="1">
      <alignment horizontal="center"/>
      <protection hidden="1"/>
    </xf>
    <xf numFmtId="194" fontId="21" fillId="8" borderId="12" xfId="0" applyNumberFormat="1" applyFont="1" applyFill="1" applyBorder="1" applyAlignment="1" applyProtection="1">
      <alignment horizontal="center"/>
      <protection hidden="1"/>
    </xf>
    <xf numFmtId="185" fontId="5" fillId="3" borderId="12" xfId="0" applyNumberFormat="1" applyFont="1" applyFill="1" applyBorder="1" applyAlignment="1" applyProtection="1">
      <alignment/>
      <protection locked="0"/>
    </xf>
    <xf numFmtId="14" fontId="5" fillId="3" borderId="13" xfId="0" applyNumberFormat="1" applyFont="1" applyFill="1" applyBorder="1" applyAlignment="1" applyProtection="1">
      <alignment horizontal="center"/>
      <protection locked="0"/>
    </xf>
    <xf numFmtId="14" fontId="5" fillId="3" borderId="23" xfId="0" applyNumberFormat="1" applyFont="1" applyFill="1" applyBorder="1" applyAlignment="1" applyProtection="1">
      <alignment horizontal="center"/>
      <protection locked="0"/>
    </xf>
    <xf numFmtId="195" fontId="5" fillId="7" borderId="30" xfId="0" applyNumberFormat="1" applyFont="1" applyFill="1" applyBorder="1" applyAlignment="1" applyProtection="1">
      <alignment horizontal="center"/>
      <protection locked="0"/>
    </xf>
    <xf numFmtId="195" fontId="5" fillId="7" borderId="31" xfId="0" applyNumberFormat="1" applyFont="1" applyFill="1" applyBorder="1" applyAlignment="1" applyProtection="1">
      <alignment horizontal="center"/>
      <protection locked="0"/>
    </xf>
    <xf numFmtId="0" fontId="5" fillId="7" borderId="9" xfId="0" applyFont="1" applyFill="1" applyBorder="1" applyAlignment="1" applyProtection="1">
      <alignment horizontal="center"/>
      <protection locked="0"/>
    </xf>
    <xf numFmtId="0" fontId="5" fillId="7" borderId="32" xfId="0" applyFont="1" applyFill="1" applyBorder="1" applyAlignment="1" applyProtection="1">
      <alignment horizontal="center"/>
      <protection locked="0"/>
    </xf>
    <xf numFmtId="187" fontId="5" fillId="7" borderId="13" xfId="0" applyNumberFormat="1" applyFont="1" applyFill="1" applyBorder="1" applyAlignment="1" applyProtection="1">
      <alignment horizontal="center"/>
      <protection locked="0"/>
    </xf>
    <xf numFmtId="187" fontId="5" fillId="7" borderId="23" xfId="0" applyNumberFormat="1" applyFont="1" applyFill="1" applyBorder="1" applyAlignment="1" applyProtection="1">
      <alignment horizontal="center"/>
      <protection locked="0"/>
    </xf>
    <xf numFmtId="187" fontId="5" fillId="7" borderId="33" xfId="0" applyNumberFormat="1" applyFont="1" applyFill="1" applyBorder="1" applyAlignment="1" applyProtection="1">
      <alignment horizontal="center"/>
      <protection locked="0"/>
    </xf>
    <xf numFmtId="187" fontId="5" fillId="7" borderId="34" xfId="0" applyNumberFormat="1" applyFont="1" applyFill="1" applyBorder="1" applyAlignment="1" applyProtection="1">
      <alignment horizontal="center"/>
      <protection locked="0"/>
    </xf>
    <xf numFmtId="0" fontId="5" fillId="7" borderId="12" xfId="0" applyFont="1" applyFill="1" applyBorder="1" applyAlignment="1" applyProtection="1">
      <alignment horizontal="center"/>
      <protection locked="0"/>
    </xf>
    <xf numFmtId="0" fontId="5" fillId="7" borderId="16" xfId="0" applyFont="1" applyFill="1" applyBorder="1" applyAlignment="1" applyProtection="1">
      <alignment horizontal="center"/>
      <protection locked="0"/>
    </xf>
    <xf numFmtId="192" fontId="5" fillId="9" borderId="35" xfId="0" applyNumberFormat="1" applyFont="1" applyFill="1" applyBorder="1" applyAlignment="1" applyProtection="1">
      <alignment horizontal="center"/>
      <protection locked="0"/>
    </xf>
    <xf numFmtId="192" fontId="5" fillId="9" borderId="13" xfId="0" applyNumberFormat="1" applyFont="1" applyFill="1" applyBorder="1" applyAlignment="1" applyProtection="1">
      <alignment horizontal="center"/>
      <protection locked="0"/>
    </xf>
    <xf numFmtId="192" fontId="5" fillId="9" borderId="23" xfId="0" applyNumberFormat="1" applyFont="1" applyFill="1" applyBorder="1" applyAlignment="1" applyProtection="1">
      <alignment horizontal="center"/>
      <protection locked="0"/>
    </xf>
    <xf numFmtId="180" fontId="5" fillId="9" borderId="36" xfId="0" applyNumberFormat="1" applyFont="1" applyFill="1" applyBorder="1" applyAlignment="1" applyProtection="1">
      <alignment horizontal="center"/>
      <protection locked="0"/>
    </xf>
    <xf numFmtId="180" fontId="5" fillId="9" borderId="33" xfId="0" applyNumberFormat="1" applyFont="1" applyFill="1" applyBorder="1" applyAlignment="1" applyProtection="1">
      <alignment horizontal="center"/>
      <protection locked="0"/>
    </xf>
    <xf numFmtId="180" fontId="5" fillId="9" borderId="34" xfId="0" applyNumberFormat="1" applyFont="1" applyFill="1" applyBorder="1" applyAlignment="1" applyProtection="1">
      <alignment horizontal="center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ezimal [0]_Cape Town-Algaciras (2)" xfId="19"/>
    <cellStyle name="Dezimal_Cape Town-Algaciras (2)" xfId="20"/>
    <cellStyle name="Percent" xfId="21"/>
    <cellStyle name="Standard_Cape Town-Algaciras (2)" xfId="22"/>
    <cellStyle name="Währung [0]_Cape Town-Algaciras (2)" xfId="23"/>
    <cellStyle name="Währung_Cape Town-Algaciras (2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34"/>
  <sheetViews>
    <sheetView tabSelected="1" workbookViewId="0" topLeftCell="C1">
      <selection activeCell="H15" sqref="H15"/>
    </sheetView>
  </sheetViews>
  <sheetFormatPr defaultColWidth="9.140625" defaultRowHeight="12.75"/>
  <cols>
    <col min="1" max="1" width="8.7109375" style="3" customWidth="1"/>
    <col min="2" max="2" width="14.00390625" style="3" customWidth="1"/>
    <col min="3" max="3" width="7.7109375" style="3" customWidth="1"/>
    <col min="4" max="4" width="3.421875" style="3" customWidth="1"/>
    <col min="5" max="5" width="4.57421875" style="3" customWidth="1"/>
    <col min="6" max="6" width="5.57421875" style="3" customWidth="1"/>
    <col min="7" max="7" width="7.57421875" style="3" customWidth="1"/>
    <col min="8" max="8" width="6.140625" style="3" customWidth="1"/>
    <col min="9" max="9" width="2.28125" style="3" customWidth="1"/>
    <col min="10" max="10" width="19.140625" style="3" customWidth="1"/>
    <col min="11" max="11" width="7.7109375" style="3" hidden="1" customWidth="1"/>
    <col min="12" max="12" width="8.421875" style="3" hidden="1" customWidth="1"/>
    <col min="13" max="13" width="6.57421875" style="3" hidden="1" customWidth="1"/>
    <col min="14" max="14" width="9.57421875" style="3" hidden="1" customWidth="1"/>
    <col min="15" max="15" width="9.421875" style="3" hidden="1" customWidth="1"/>
    <col min="16" max="16" width="2.7109375" style="3" hidden="1" customWidth="1"/>
    <col min="17" max="17" width="10.28125" style="3" hidden="1" customWidth="1"/>
    <col min="18" max="18" width="2.28125" style="3" hidden="1" customWidth="1"/>
    <col min="19" max="19" width="10.57421875" style="3" hidden="1" customWidth="1"/>
    <col min="20" max="20" width="2.7109375" style="3" hidden="1" customWidth="1"/>
    <col min="21" max="22" width="9.28125" style="3" hidden="1" customWidth="1"/>
    <col min="23" max="23" width="10.7109375" style="3" hidden="1" customWidth="1"/>
    <col min="24" max="24" width="2.57421875" style="3" hidden="1" customWidth="1"/>
    <col min="25" max="25" width="2.7109375" style="3" hidden="1" customWidth="1"/>
    <col min="26" max="26" width="12.28125" style="3" customWidth="1"/>
    <col min="27" max="27" width="17.28125" style="3" customWidth="1"/>
    <col min="28" max="28" width="0" style="3" hidden="1" customWidth="1"/>
    <col min="29" max="16384" width="11.57421875" style="3" customWidth="1"/>
  </cols>
  <sheetData>
    <row r="1" spans="1:28" ht="12.75">
      <c r="A1" s="27">
        <f ca="1">TODAY()</f>
        <v>39027</v>
      </c>
      <c r="B1" s="7" t="s">
        <v>0</v>
      </c>
      <c r="C1" s="8"/>
      <c r="D1" s="8"/>
      <c r="E1" s="8"/>
      <c r="F1" s="8"/>
      <c r="G1" s="8"/>
      <c r="H1" s="8"/>
      <c r="I1" s="9"/>
      <c r="J1" s="32" t="s">
        <v>1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5" t="s">
        <v>65</v>
      </c>
      <c r="AA1" s="1"/>
      <c r="AB1" s="1">
        <f>IF(Z2="",1,0)</f>
        <v>1</v>
      </c>
    </row>
    <row r="2" spans="1:28" ht="12.75">
      <c r="A2" s="28">
        <v>1</v>
      </c>
      <c r="B2" s="121"/>
      <c r="C2" s="122"/>
      <c r="D2" s="122"/>
      <c r="E2" s="123"/>
      <c r="F2" s="124" t="s">
        <v>2</v>
      </c>
      <c r="G2" s="147">
        <v>39027</v>
      </c>
      <c r="H2" s="147"/>
      <c r="I2" s="148"/>
      <c r="J2" s="35" t="str">
        <f>IF(G2="","Enter the date","Ready")</f>
        <v>Ready</v>
      </c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3">
        <f>IF(Z1="","Enter your name, please.","")</f>
      </c>
      <c r="AA2" s="37"/>
      <c r="AB2" s="34">
        <f aca="true" t="shared" si="0" ref="AB2:AB14">IF(J2="Ready",1,0)</f>
        <v>1</v>
      </c>
    </row>
    <row r="3" spans="1:28" ht="12.75">
      <c r="A3" s="25">
        <v>2</v>
      </c>
      <c r="B3" s="125"/>
      <c r="C3" s="126"/>
      <c r="D3" s="126"/>
      <c r="E3" s="126"/>
      <c r="F3" s="127" t="s">
        <v>3</v>
      </c>
      <c r="G3" s="83">
        <v>20</v>
      </c>
      <c r="H3" s="149">
        <v>32</v>
      </c>
      <c r="I3" s="150"/>
      <c r="J3" s="35" t="str">
        <f>IF(AND(G3="",H3=""),"Enter hrs &amp; min",IF(AND(G3&lt;&gt;"",H3=""),"Enter min","Ready"))</f>
        <v>Ready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7"/>
      <c r="AA3" s="37"/>
      <c r="AB3" s="34">
        <f t="shared" si="0"/>
        <v>1</v>
      </c>
    </row>
    <row r="4" spans="1:28" ht="12.75">
      <c r="A4" s="25">
        <v>3</v>
      </c>
      <c r="B4" s="128" t="s">
        <v>4</v>
      </c>
      <c r="C4" s="129"/>
      <c r="D4" s="129"/>
      <c r="E4" s="129"/>
      <c r="F4" s="130" t="s">
        <v>5</v>
      </c>
      <c r="G4" s="117">
        <v>5</v>
      </c>
      <c r="H4" s="84">
        <v>44.4</v>
      </c>
      <c r="I4" s="119" t="s">
        <v>63</v>
      </c>
      <c r="J4" s="35" t="str">
        <f>IF(AND(G4="",H4="",I4=""),"Enter deg, min &amp; tens, N/S",IF(AND(G4&lt;&gt;"",H4="",I4=""),"Enter min &amp; tens",IF(AND(G4&lt;&gt;"",H4&lt;&gt;"",I4=""),"Enter N/S","Ready")))</f>
        <v>Ready</v>
      </c>
      <c r="K4" s="38" t="s">
        <v>6</v>
      </c>
      <c r="L4" s="36">
        <f>G4+H4/60</f>
        <v>5.74</v>
      </c>
      <c r="M4" s="36" t="s">
        <v>7</v>
      </c>
      <c r="N4" s="36">
        <f>COS(L4/(180/PI()))</f>
        <v>0.9949859892120491</v>
      </c>
      <c r="O4" s="36">
        <f>LOG(TAN(L4/(180/PI())))</f>
        <v>-0.997754408309157</v>
      </c>
      <c r="P4" s="36"/>
      <c r="Q4" s="36"/>
      <c r="R4" s="36"/>
      <c r="S4" s="36"/>
      <c r="T4" s="36"/>
      <c r="U4" s="36">
        <f>LOG(COS(L4/(180/PI())))</f>
        <v>-0.0021830346821492103</v>
      </c>
      <c r="V4" s="36"/>
      <c r="W4" s="36"/>
      <c r="X4" s="36"/>
      <c r="Y4" s="36"/>
      <c r="Z4" s="41">
        <f>IF(AB15=14,"","No all datas are entered !!!")</f>
      </c>
      <c r="AA4" s="42"/>
      <c r="AB4" s="34">
        <f t="shared" si="0"/>
        <v>1</v>
      </c>
    </row>
    <row r="5" spans="1:28" ht="12.75">
      <c r="A5" s="25">
        <v>4</v>
      </c>
      <c r="B5" s="131"/>
      <c r="C5" s="132"/>
      <c r="D5" s="132"/>
      <c r="E5" s="133"/>
      <c r="F5" s="134" t="s">
        <v>8</v>
      </c>
      <c r="G5" s="118">
        <v>10</v>
      </c>
      <c r="H5" s="85">
        <v>55.1</v>
      </c>
      <c r="I5" s="120" t="s">
        <v>64</v>
      </c>
      <c r="J5" s="35" t="str">
        <f>IF(AND(G5="",H5="",I5=""),"Enter deg, min &amp; tens, N/S",IF(AND(G5&lt;&gt;"",H5="",I5=""),"Enter min &amp; tens",IF(AND(G5&lt;&gt;"",H5&lt;&gt;"",I5=""),"Enter E/W","Ready")))</f>
        <v>Ready</v>
      </c>
      <c r="K5" s="38" t="s">
        <v>9</v>
      </c>
      <c r="L5" s="36">
        <f>G5+H5/60</f>
        <v>10.918333333333333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41" t="str">
        <f>IF(Z4="","O.K.","The calculation is not available.")</f>
        <v>O.K.</v>
      </c>
      <c r="AA5" s="42"/>
      <c r="AB5" s="34">
        <f t="shared" si="0"/>
        <v>1</v>
      </c>
    </row>
    <row r="6" spans="1:28" ht="12.75">
      <c r="A6" s="25">
        <v>5</v>
      </c>
      <c r="B6" s="135"/>
      <c r="C6" s="136"/>
      <c r="D6" s="136"/>
      <c r="E6" s="137"/>
      <c r="F6" s="138" t="s">
        <v>10</v>
      </c>
      <c r="G6" s="159">
        <v>18.5</v>
      </c>
      <c r="H6" s="160"/>
      <c r="I6" s="161"/>
      <c r="J6" s="35" t="str">
        <f>IF(G6="","Enter knts &amp; tens","Ready")</f>
        <v>Ready</v>
      </c>
      <c r="K6" s="38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67"/>
      <c r="AA6" s="67"/>
      <c r="AB6" s="34">
        <f t="shared" si="0"/>
        <v>1</v>
      </c>
    </row>
    <row r="7" spans="1:28" ht="12.75">
      <c r="A7" s="25">
        <v>6</v>
      </c>
      <c r="B7" s="135"/>
      <c r="C7" s="136"/>
      <c r="D7" s="136"/>
      <c r="E7" s="137"/>
      <c r="F7" s="138" t="s">
        <v>11</v>
      </c>
      <c r="G7" s="162">
        <v>121</v>
      </c>
      <c r="H7" s="163"/>
      <c r="I7" s="164"/>
      <c r="J7" s="35" t="str">
        <f>IF(G7="","Enter deg.","Ready")</f>
        <v>Ready</v>
      </c>
      <c r="K7" s="38" t="s">
        <v>12</v>
      </c>
      <c r="L7" s="36">
        <f>COS(G7/(180/PI()))</f>
        <v>-0.5150380749100543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7"/>
      <c r="AA7" s="37"/>
      <c r="AB7" s="34">
        <f t="shared" si="0"/>
        <v>1</v>
      </c>
    </row>
    <row r="8" spans="1:28" ht="12.75">
      <c r="A8" s="25">
        <v>7</v>
      </c>
      <c r="B8" s="139"/>
      <c r="C8" s="137"/>
      <c r="D8" s="137"/>
      <c r="E8" s="137"/>
      <c r="F8" s="138" t="s">
        <v>13</v>
      </c>
      <c r="G8" s="162">
        <v>137</v>
      </c>
      <c r="H8" s="163"/>
      <c r="I8" s="164"/>
      <c r="J8" s="35" t="str">
        <f>IF(G8="","Enter deg.","Ready")</f>
        <v>Ready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37"/>
      <c r="AB8" s="34">
        <f t="shared" si="0"/>
        <v>1</v>
      </c>
    </row>
    <row r="9" spans="1:28" ht="12.75">
      <c r="A9" s="25">
        <v>8</v>
      </c>
      <c r="B9" s="140" t="s">
        <v>14</v>
      </c>
      <c r="C9" s="132"/>
      <c r="D9" s="132"/>
      <c r="E9" s="132"/>
      <c r="F9" s="134" t="s">
        <v>15</v>
      </c>
      <c r="G9" s="87">
        <v>8.7</v>
      </c>
      <c r="H9" s="157" t="s">
        <v>64</v>
      </c>
      <c r="I9" s="158"/>
      <c r="J9" s="35" t="str">
        <f>IF(AND(G9="",H9=""),"Enter deg.&amp; tens, &amp; E/W",IF(AND(G9&lt;&gt;"",H9=""),"Enter E/W","Ready"))</f>
        <v>Ready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7"/>
      <c r="AA9" s="37"/>
      <c r="AB9" s="34">
        <f t="shared" si="0"/>
        <v>1</v>
      </c>
    </row>
    <row r="10" spans="1:28" ht="12.75">
      <c r="A10" s="25">
        <v>9</v>
      </c>
      <c r="B10" s="140"/>
      <c r="C10" s="132"/>
      <c r="D10" s="132"/>
      <c r="E10" s="132"/>
      <c r="F10" s="134" t="s">
        <v>16</v>
      </c>
      <c r="G10" s="146">
        <v>66</v>
      </c>
      <c r="H10" s="151" t="s">
        <v>66</v>
      </c>
      <c r="I10" s="152"/>
      <c r="J10" s="35" t="str">
        <f>IF(AND(G10="",H10=""),"Enter deg.&amp; tens, &amp; object observed",IF(AND(G10&lt;&gt;"",H10=""),"Enter object observed","Ready"))</f>
        <v>Ready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7"/>
      <c r="AA10" s="37"/>
      <c r="AB10" s="34">
        <f t="shared" si="0"/>
        <v>1</v>
      </c>
    </row>
    <row r="11" spans="1:28" ht="12.75">
      <c r="A11" s="25">
        <v>10</v>
      </c>
      <c r="B11" s="141" t="s">
        <v>17</v>
      </c>
      <c r="C11" s="137"/>
      <c r="D11" s="137" t="s">
        <v>18</v>
      </c>
      <c r="E11" s="142">
        <f>G3</f>
        <v>20</v>
      </c>
      <c r="F11" s="138" t="s">
        <v>19</v>
      </c>
      <c r="G11" s="86">
        <v>287</v>
      </c>
      <c r="H11" s="153">
        <v>4.9</v>
      </c>
      <c r="I11" s="154"/>
      <c r="J11" s="35" t="str">
        <f>IF(AND(G11="",H11=""),"Enter deg.,min &amp; tens",IF(AND(G11&lt;&gt;"",H11=""),"Enter min &amp; tens","Ready"))</f>
        <v>Ready</v>
      </c>
      <c r="K11" s="38" t="s">
        <v>20</v>
      </c>
      <c r="L11" s="36">
        <f>G11+H11/60</f>
        <v>287.08166666666665</v>
      </c>
      <c r="M11" s="36" t="s">
        <v>21</v>
      </c>
      <c r="N11" s="36">
        <f>IF(L12&lt;L11,360+L12-L11,L12-L11)</f>
        <v>14.395000000000039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41" t="str">
        <f>IF(G17&lt;&gt;"","To prepare the sheet for next calculation ","")</f>
        <v>To prepare the sheet for next calculation </v>
      </c>
      <c r="AA11" s="42"/>
      <c r="AB11" s="34">
        <f t="shared" si="0"/>
        <v>1</v>
      </c>
    </row>
    <row r="12" spans="1:28" ht="12.75">
      <c r="A12" s="25">
        <v>11</v>
      </c>
      <c r="B12" s="141" t="s">
        <v>22</v>
      </c>
      <c r="C12" s="143">
        <f>IF(G3=23,G2+1,"")</f>
      </c>
      <c r="D12" s="142" t="s">
        <v>18</v>
      </c>
      <c r="E12" s="142">
        <f>IF(G3=23,0,G3+1)</f>
        <v>21</v>
      </c>
      <c r="F12" s="138" t="s">
        <v>19</v>
      </c>
      <c r="G12" s="86">
        <v>301</v>
      </c>
      <c r="H12" s="155">
        <v>28.6</v>
      </c>
      <c r="I12" s="156"/>
      <c r="J12" s="35" t="str">
        <f>IF(AND(G12="",H12=""),"Enter deg.,min &amp; tens",IF(AND(G12&lt;&gt;"",H12=""),"Enter min &amp; tens","Ready"))</f>
        <v>Ready</v>
      </c>
      <c r="K12" s="38" t="s">
        <v>23</v>
      </c>
      <c r="L12" s="36">
        <f>G12+H12/60</f>
        <v>301.4766666666667</v>
      </c>
      <c r="M12" s="36" t="s">
        <v>21</v>
      </c>
      <c r="N12" s="36">
        <f>N11/60*H3</f>
        <v>7.677333333333354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41" t="str">
        <f>IF(G17&lt;&gt;"","click on the button below.","")</f>
        <v>click on the button below.</v>
      </c>
      <c r="AA12" s="42"/>
      <c r="AB12" s="34">
        <f t="shared" si="0"/>
        <v>1</v>
      </c>
    </row>
    <row r="13" spans="1:28" ht="12.75">
      <c r="A13" s="25">
        <v>12</v>
      </c>
      <c r="B13" s="141" t="s">
        <v>24</v>
      </c>
      <c r="C13" s="137"/>
      <c r="D13" s="137" t="s">
        <v>18</v>
      </c>
      <c r="E13" s="142">
        <f>G3</f>
        <v>20</v>
      </c>
      <c r="F13" s="138" t="s">
        <v>25</v>
      </c>
      <c r="G13" s="88">
        <v>25</v>
      </c>
      <c r="H13" s="90">
        <v>11.6</v>
      </c>
      <c r="I13" s="92" t="s">
        <v>63</v>
      </c>
      <c r="J13" s="35" t="str">
        <f>IF(AND(G13="",H13="",I13=""),"Enter deg, min &amp; tens, N/S",IF(AND(G13&lt;&gt;"",H13="",I13=""),"Enter min &amp; tens",IF(AND(G13&lt;&gt;"",H13&lt;&gt;"",I13=""),"Enter N/S","Ready")))</f>
        <v>Ready</v>
      </c>
      <c r="K13" s="38" t="s">
        <v>26</v>
      </c>
      <c r="L13" s="36">
        <f>G13+H13/60</f>
        <v>25.19333333333333</v>
      </c>
      <c r="M13" s="36" t="s">
        <v>21</v>
      </c>
      <c r="N13" s="36">
        <f>L14-L13</f>
        <v>0.14333333333333442</v>
      </c>
      <c r="O13" s="39"/>
      <c r="P13" s="39"/>
      <c r="Q13" s="39" t="s">
        <v>27</v>
      </c>
      <c r="R13" s="36"/>
      <c r="S13" s="36"/>
      <c r="T13" s="36"/>
      <c r="U13" s="36"/>
      <c r="V13" s="36"/>
      <c r="W13" s="36"/>
      <c r="X13" s="36"/>
      <c r="Y13" s="36"/>
      <c r="Z13" s="37"/>
      <c r="AA13" s="37"/>
      <c r="AB13" s="34">
        <f t="shared" si="0"/>
        <v>1</v>
      </c>
    </row>
    <row r="14" spans="1:28" ht="12.75">
      <c r="A14" s="25">
        <v>13</v>
      </c>
      <c r="B14" s="131" t="s">
        <v>28</v>
      </c>
      <c r="C14" s="144">
        <f>IF(G3=23,G2+1,"")</f>
      </c>
      <c r="D14" s="145" t="s">
        <v>18</v>
      </c>
      <c r="E14" s="145">
        <f>IF(G3=23,0,G3+1)</f>
        <v>21</v>
      </c>
      <c r="F14" s="134" t="s">
        <v>25</v>
      </c>
      <c r="G14" s="89">
        <v>25</v>
      </c>
      <c r="H14" s="91">
        <v>20.2</v>
      </c>
      <c r="I14" s="93" t="s">
        <v>63</v>
      </c>
      <c r="J14" s="35" t="str">
        <f>IF(AND(G14="",H14="",I14=""),"Enter deg, min &amp; tens, N/S",IF(AND(G14&lt;&gt;"",H14="",I14=""),"Enter min &amp; tens",IF(AND(G14&lt;&gt;"",H14&lt;&gt;"",I14=""),"Enter N/S","Ready")))</f>
        <v>Ready</v>
      </c>
      <c r="K14" s="38" t="s">
        <v>23</v>
      </c>
      <c r="L14" s="36">
        <f>G14+H14/60</f>
        <v>25.336666666666666</v>
      </c>
      <c r="M14" s="36" t="s">
        <v>21</v>
      </c>
      <c r="N14" s="36">
        <f>(N13/60)*H3</f>
        <v>0.07644444444444502</v>
      </c>
      <c r="O14" s="36">
        <f>O4+O17</f>
        <v>-1.606155518310668</v>
      </c>
      <c r="P14" s="36"/>
      <c r="Q14" s="36">
        <f>Q17+Q18</f>
        <v>-0.3132130093023506</v>
      </c>
      <c r="R14" s="36"/>
      <c r="S14" s="36"/>
      <c r="T14" s="36"/>
      <c r="U14" s="36"/>
      <c r="V14" s="36"/>
      <c r="W14" s="36"/>
      <c r="X14" s="36"/>
      <c r="Y14" s="36"/>
      <c r="Z14" s="37"/>
      <c r="AA14" s="37"/>
      <c r="AB14" s="34">
        <f t="shared" si="0"/>
        <v>1</v>
      </c>
    </row>
    <row r="15" spans="1:28" ht="12.75">
      <c r="A15" s="25">
        <v>14</v>
      </c>
      <c r="B15" s="20"/>
      <c r="C15" s="21"/>
      <c r="D15" s="21"/>
      <c r="E15" s="24" t="s">
        <v>29</v>
      </c>
      <c r="F15" s="43" t="str">
        <f>IF(Z5="O.K."," ","")</f>
        <v> </v>
      </c>
      <c r="G15" s="22"/>
      <c r="H15" s="22"/>
      <c r="I15" s="23"/>
      <c r="J15" s="29"/>
      <c r="K15" s="2"/>
      <c r="L15" s="2"/>
      <c r="M15" s="2"/>
      <c r="N15" s="2"/>
      <c r="O15" s="4" t="s">
        <v>30</v>
      </c>
      <c r="P15" s="4" t="str">
        <f>IF(I4="S","N","S")</f>
        <v>S</v>
      </c>
      <c r="Q15" s="4" t="s">
        <v>31</v>
      </c>
      <c r="R15" s="2"/>
      <c r="S15" s="4" t="s">
        <v>32</v>
      </c>
      <c r="T15" s="2"/>
      <c r="U15" s="4" t="s">
        <v>33</v>
      </c>
      <c r="V15" s="2" t="s">
        <v>34</v>
      </c>
      <c r="W15" s="4" t="s">
        <v>35</v>
      </c>
      <c r="X15" s="2"/>
      <c r="Y15" s="2"/>
      <c r="Z15" s="1"/>
      <c r="AA15" s="1"/>
      <c r="AB15" s="34">
        <f>SUM(AB1:AB14)</f>
        <v>14</v>
      </c>
    </row>
    <row r="16" spans="1:27" ht="24.75">
      <c r="A16" s="25">
        <v>15</v>
      </c>
      <c r="B16" s="10"/>
      <c r="C16" s="11"/>
      <c r="D16" s="11"/>
      <c r="E16" s="11"/>
      <c r="F16" s="95" t="s">
        <v>36</v>
      </c>
      <c r="G16" s="94">
        <f>IF(F15&lt;&gt;"",IF(AND(X16="N",Y16="E"),W16,IF(AND(X16="N",Y16="W"),360-W16,IF(AND(X16="S",Y16="E"),180-W16,IF(AND(X16="S",Y16="W"),180+W16)))),"")</f>
        <v>65.34062442885013</v>
      </c>
      <c r="H16" s="5"/>
      <c r="I16" s="6"/>
      <c r="J16" s="29"/>
      <c r="K16" s="2"/>
      <c r="L16" s="2">
        <f>IF(I5="E",L11+N12+L5,L11+N12-L5)</f>
        <v>283.84066666666666</v>
      </c>
      <c r="M16" s="2"/>
      <c r="N16" s="2"/>
      <c r="O16" s="2">
        <f>10^O14</f>
        <v>0.02476535066125357</v>
      </c>
      <c r="P16" s="2" t="str">
        <f>IF(AND(L17&gt;=90,L17&lt;=270),I4,P15)</f>
        <v>S</v>
      </c>
      <c r="Q16" s="2">
        <f>10^Q14</f>
        <v>0.4861686950511246</v>
      </c>
      <c r="R16" s="2" t="str">
        <f>I18</f>
        <v>N</v>
      </c>
      <c r="S16" s="2">
        <f>IF(AND(P16=R16),O16+Q16,IF(AND(P16&lt;&gt;Q16,O16&gt;Q16),O16-Q16,IF(AND(P16&lt;&gt;R16,O16&lt;Q16),Q16-O16)))</f>
        <v>0.461403344389871</v>
      </c>
      <c r="T16" s="2" t="str">
        <f>IF(AND(P16=R16),R16,IF(AND(P16&lt;&gt;R16,O16&gt;Q16),P16,IF(AND(P16&lt;&gt;R16,O16&lt;Q16),R16)))</f>
        <v>N</v>
      </c>
      <c r="U16" s="2">
        <f>LOG(S16)</f>
        <v>-0.33591926190681437</v>
      </c>
      <c r="V16" s="2">
        <f>U16+U4</f>
        <v>-0.33810229658896357</v>
      </c>
      <c r="W16" s="2">
        <f>ATAN(1/10^V16)*180/PI()</f>
        <v>65.34062442885013</v>
      </c>
      <c r="X16" s="2" t="str">
        <f>T16</f>
        <v>N</v>
      </c>
      <c r="Y16" s="2" t="str">
        <f>IF(AND(L17&gt;=180,L17&lt;=360),"E","W")</f>
        <v>E</v>
      </c>
      <c r="Z16" s="1"/>
      <c r="AA16" s="1"/>
    </row>
    <row r="17" spans="1:27" ht="12.75">
      <c r="A17" s="25">
        <v>16</v>
      </c>
      <c r="B17" s="12"/>
      <c r="C17" s="96"/>
      <c r="D17" s="96"/>
      <c r="E17" s="96"/>
      <c r="F17" s="97" t="s">
        <v>37</v>
      </c>
      <c r="G17" s="98">
        <f>IF(F15&lt;&gt;"",INT(L17),"")</f>
        <v>283</v>
      </c>
      <c r="H17" s="99">
        <f>IF(F15&lt;&gt;"",(L17-INT(L17))*60,"")</f>
        <v>50.43999999999983</v>
      </c>
      <c r="I17" s="100"/>
      <c r="J17" s="29"/>
      <c r="K17" s="2" t="s">
        <v>38</v>
      </c>
      <c r="L17" s="2">
        <f>IF(L16&gt;360,L16-360,L16)</f>
        <v>283.84066666666666</v>
      </c>
      <c r="M17" s="2" t="s">
        <v>39</v>
      </c>
      <c r="N17" s="2">
        <f>IF(AND(L17&gt;0,L17&lt;90),L17,IF(AND(L17&gt;90,L17&lt;180),90-(L17-90),IF(AND(L17&gt;180,L17&lt;270),L17-180,IF(AND(L17&gt;270,L17&lt;360),90-(L17-270)))))</f>
        <v>76.15933333333334</v>
      </c>
      <c r="O17" s="2">
        <f>LOG(1/TAN(N17/(180/PI())))</f>
        <v>-0.6084011100015111</v>
      </c>
      <c r="P17" s="2"/>
      <c r="Q17" s="2">
        <f>LOG(1/SIN(N17/(180/PI())))</f>
        <v>0.012796544491355349</v>
      </c>
      <c r="R17" s="2"/>
      <c r="S17" s="2"/>
      <c r="T17" s="2"/>
      <c r="U17" s="2"/>
      <c r="V17" s="2"/>
      <c r="W17" s="2"/>
      <c r="X17" s="2"/>
      <c r="Y17" s="2"/>
      <c r="Z17" s="1"/>
      <c r="AA17" s="1"/>
    </row>
    <row r="18" spans="1:27" ht="12.75">
      <c r="A18" s="25">
        <v>17</v>
      </c>
      <c r="B18" s="13"/>
      <c r="C18" s="101"/>
      <c r="D18" s="101"/>
      <c r="E18" s="101"/>
      <c r="F18" s="102" t="s">
        <v>40</v>
      </c>
      <c r="G18" s="103">
        <f>IF(F15&lt;&gt;"",INT(L18),"")</f>
        <v>25</v>
      </c>
      <c r="H18" s="104">
        <f>IF(F15&lt;&gt;"",(L18-INT(L18))*60,"")</f>
        <v>16.186666666666554</v>
      </c>
      <c r="I18" s="105" t="str">
        <f>IF(F15&lt;&gt;"",I13,"")</f>
        <v>N</v>
      </c>
      <c r="J18" s="29"/>
      <c r="K18" s="2" t="s">
        <v>41</v>
      </c>
      <c r="L18" s="2">
        <f>L13+N14</f>
        <v>25.269777777777776</v>
      </c>
      <c r="M18" s="2"/>
      <c r="N18" s="2"/>
      <c r="O18" s="2"/>
      <c r="P18" s="2"/>
      <c r="Q18" s="2">
        <f>LOG(TAN(L18/(180/PI())))</f>
        <v>-0.32600955379370594</v>
      </c>
      <c r="R18" s="2"/>
      <c r="S18" s="2"/>
      <c r="T18" s="2"/>
      <c r="U18" s="2"/>
      <c r="V18" s="2"/>
      <c r="W18" s="2"/>
      <c r="X18" s="2"/>
      <c r="Y18" s="2"/>
      <c r="Z18" s="1"/>
      <c r="AA18" s="1"/>
    </row>
    <row r="19" spans="1:27" ht="12.75">
      <c r="A19" s="25">
        <v>18</v>
      </c>
      <c r="B19" s="14"/>
      <c r="C19" s="106"/>
      <c r="D19" s="106"/>
      <c r="E19" s="106"/>
      <c r="F19" s="102" t="s">
        <v>42</v>
      </c>
      <c r="G19" s="107">
        <f>IF(F15&lt;&gt;"",ASIN(L19)*180/PI(),"")</f>
        <v>0.6069549027122086</v>
      </c>
      <c r="H19" s="108"/>
      <c r="I19" s="109"/>
      <c r="J19" s="29"/>
      <c r="K19" s="2" t="s">
        <v>43</v>
      </c>
      <c r="L19" s="2">
        <f>-(G6*L7)/(904*N4)</f>
        <v>0.010593163334614393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"/>
      <c r="AA19" s="1"/>
    </row>
    <row r="20" spans="1:27" ht="12.75">
      <c r="A20" s="25">
        <v>19</v>
      </c>
      <c r="B20" s="14"/>
      <c r="C20" s="106"/>
      <c r="D20" s="106"/>
      <c r="E20" s="106"/>
      <c r="F20" s="102" t="s">
        <v>44</v>
      </c>
      <c r="G20" s="110">
        <f>IF(F15&lt;&gt;"",G16-G10,"")</f>
        <v>-0.6593755711498659</v>
      </c>
      <c r="H20" s="111"/>
      <c r="I20" s="109"/>
      <c r="J20" s="2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>
      <c r="A21" s="25">
        <v>20</v>
      </c>
      <c r="B21" s="14"/>
      <c r="C21" s="106"/>
      <c r="D21" s="106"/>
      <c r="E21" s="106"/>
      <c r="F21" s="102" t="s">
        <v>45</v>
      </c>
      <c r="G21" s="110">
        <f>IF(F15&lt;&gt;"",G20-G19,"")</f>
        <v>-1.2663304738620744</v>
      </c>
      <c r="H21" s="111">
        <f>IF(G21&lt;&gt;"",IF(ABS(G21)&gt;2,"too big",""),"")</f>
      </c>
      <c r="I21" s="109"/>
      <c r="J21" s="2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 thickBot="1">
      <c r="A22" s="25">
        <v>21</v>
      </c>
      <c r="B22" s="15"/>
      <c r="C22" s="112"/>
      <c r="D22" s="112"/>
      <c r="E22" s="112"/>
      <c r="F22" s="113" t="s">
        <v>46</v>
      </c>
      <c r="G22" s="114">
        <f>IF(F15&lt;&gt;"",IF(H9="W",G7-G8+G20+G9,G7-G8+G20-G9),"")</f>
        <v>-7.959375571149867</v>
      </c>
      <c r="H22" s="115" t="str">
        <f>IF(G22&lt;&gt;"",IF(ABS(G22)&gt;3,"too big",""),"")</f>
        <v>too big</v>
      </c>
      <c r="I22" s="116"/>
      <c r="J22" s="2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>
      <c r="A23" s="1"/>
      <c r="B23" s="1"/>
      <c r="C23" s="1"/>
      <c r="D23" s="1"/>
      <c r="E23" s="1"/>
      <c r="F23" s="1"/>
      <c r="G23" s="26"/>
      <c r="H23" s="26"/>
      <c r="I23" s="2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1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21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</sheetData>
  <sheetProtection sheet="1" objects="1" scenarios="1"/>
  <mergeCells count="9">
    <mergeCell ref="H12:I12"/>
    <mergeCell ref="H9:I9"/>
    <mergeCell ref="G6:I6"/>
    <mergeCell ref="G7:I7"/>
    <mergeCell ref="G8:I8"/>
    <mergeCell ref="G2:I2"/>
    <mergeCell ref="H3:I3"/>
    <mergeCell ref="H10:I10"/>
    <mergeCell ref="H11:I11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13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4"/>
  <sheetViews>
    <sheetView showGridLines="0" zoomScale="95" zoomScaleNormal="95" workbookViewId="0" topLeftCell="A1">
      <selection activeCell="F6" sqref="F6"/>
    </sheetView>
  </sheetViews>
  <sheetFormatPr defaultColWidth="9.140625" defaultRowHeight="12.75"/>
  <cols>
    <col min="1" max="1" width="13.28125" style="30" customWidth="1"/>
    <col min="2" max="2" width="7.00390625" style="30" customWidth="1"/>
    <col min="3" max="3" width="4.00390625" style="30" customWidth="1"/>
    <col min="4" max="4" width="5.7109375" style="30" customWidth="1"/>
    <col min="5" max="5" width="5.28125" style="30" customWidth="1"/>
    <col min="6" max="6" width="4.28125" style="30" customWidth="1"/>
    <col min="7" max="7" width="4.57421875" style="30" customWidth="1"/>
    <col min="8" max="8" width="3.421875" style="30" customWidth="1"/>
    <col min="9" max="9" width="4.57421875" style="30" customWidth="1"/>
    <col min="10" max="10" width="1.8515625" style="30" customWidth="1"/>
    <col min="11" max="11" width="4.28125" style="30" customWidth="1"/>
    <col min="12" max="12" width="4.57421875" style="30" customWidth="1"/>
    <col min="13" max="13" width="2.28125" style="30" customWidth="1"/>
    <col min="14" max="15" width="4.7109375" style="30" customWidth="1"/>
    <col min="16" max="16" width="5.57421875" style="30" customWidth="1"/>
    <col min="17" max="17" width="6.00390625" style="30" customWidth="1"/>
    <col min="18" max="18" width="4.8515625" style="30" customWidth="1"/>
    <col min="19" max="19" width="4.7109375" style="30" customWidth="1"/>
    <col min="20" max="20" width="2.421875" style="30" customWidth="1"/>
    <col min="21" max="21" width="6.00390625" style="30" customWidth="1"/>
    <col min="22" max="22" width="5.140625" style="30" customWidth="1"/>
    <col min="23" max="23" width="5.28125" style="30" customWidth="1"/>
    <col min="24" max="25" width="9.28125" style="30" customWidth="1"/>
    <col min="26" max="26" width="10.7109375" style="30" customWidth="1"/>
    <col min="27" max="27" width="2.57421875" style="30" customWidth="1"/>
    <col min="28" max="28" width="2.7109375" style="30" customWidth="1"/>
    <col min="29" max="16384" width="11.57421875" style="30" customWidth="1"/>
  </cols>
  <sheetData>
    <row r="1" spans="1:23" s="49" customFormat="1" ht="12">
      <c r="A1" s="44"/>
      <c r="B1" s="45">
        <v>1</v>
      </c>
      <c r="C1" s="46">
        <v>2</v>
      </c>
      <c r="D1" s="47"/>
      <c r="E1" s="45">
        <v>9</v>
      </c>
      <c r="F1" s="46">
        <v>16</v>
      </c>
      <c r="G1" s="47"/>
      <c r="H1" s="46">
        <v>3</v>
      </c>
      <c r="I1" s="46"/>
      <c r="J1" s="47"/>
      <c r="K1" s="46">
        <v>4</v>
      </c>
      <c r="L1" s="46"/>
      <c r="M1" s="47"/>
      <c r="N1" s="45">
        <v>7</v>
      </c>
      <c r="O1" s="45">
        <v>6</v>
      </c>
      <c r="P1" s="45">
        <v>9</v>
      </c>
      <c r="Q1" s="45">
        <v>15</v>
      </c>
      <c r="R1" s="45">
        <v>19</v>
      </c>
      <c r="S1" s="48">
        <v>8</v>
      </c>
      <c r="T1" s="47"/>
      <c r="U1" s="45">
        <v>21</v>
      </c>
      <c r="V1" s="45">
        <v>18</v>
      </c>
      <c r="W1" s="45">
        <v>20</v>
      </c>
    </row>
    <row r="2" spans="1:23" s="16" customFormat="1" ht="21" customHeight="1">
      <c r="A2" s="62" t="s">
        <v>47</v>
      </c>
      <c r="B2" s="62" t="s">
        <v>48</v>
      </c>
      <c r="C2" s="63" t="s">
        <v>49</v>
      </c>
      <c r="D2" s="64"/>
      <c r="E2" s="31" t="s">
        <v>50</v>
      </c>
      <c r="F2" s="63" t="s">
        <v>51</v>
      </c>
      <c r="G2" s="64"/>
      <c r="H2" s="63" t="s">
        <v>52</v>
      </c>
      <c r="I2" s="63"/>
      <c r="J2" s="64"/>
      <c r="K2" s="63" t="s">
        <v>53</v>
      </c>
      <c r="L2" s="63"/>
      <c r="M2" s="64"/>
      <c r="N2" s="17" t="s">
        <v>54</v>
      </c>
      <c r="O2" s="17" t="s">
        <v>55</v>
      </c>
      <c r="P2" s="17" t="s">
        <v>56</v>
      </c>
      <c r="Q2" s="62" t="s">
        <v>57</v>
      </c>
      <c r="R2" s="17" t="s">
        <v>58</v>
      </c>
      <c r="S2" s="18" t="s">
        <v>59</v>
      </c>
      <c r="T2" s="19"/>
      <c r="U2" s="17" t="s">
        <v>60</v>
      </c>
      <c r="V2" s="17" t="s">
        <v>61</v>
      </c>
      <c r="W2" s="17" t="s">
        <v>62</v>
      </c>
    </row>
    <row r="3" spans="1:23" s="66" customFormat="1" ht="12">
      <c r="A3" s="68" t="str">
        <f>IF(Azimut!Z1="","Undersignated",Azimut!Z1)</f>
        <v>Atabu</v>
      </c>
      <c r="B3" s="68">
        <f>IF(VLOOKUP(B1,Azimut!A2:I22,7)="","",VLOOKUP(B1,Azimut!A2:I22,7))</f>
        <v>39027</v>
      </c>
      <c r="C3" s="69">
        <f>IF(VLOOKUP(C1,Azimut!A2:I22,7)="","",VLOOKUP(C1,Azimut!A2:I22,7))</f>
        <v>20</v>
      </c>
      <c r="D3" s="70">
        <f>IF(VLOOKUP(C1,Azimut!A2:J22,8)="","",VLOOKUP(C1,Azimut!A2:I22,8))</f>
        <v>32</v>
      </c>
      <c r="E3" s="71" t="str">
        <f>IF(VLOOKUP(E1,[0]!first:last,8)="","",VLOOKUP(E1,Azimut!A2:I22,8))</f>
        <v>Moon</v>
      </c>
      <c r="F3" s="72">
        <f>VLOOKUP(F1,Azimut!A2:I22,7)</f>
        <v>283</v>
      </c>
      <c r="G3" s="73">
        <f>VLOOKUP(F1,Azimut!A2:I22,8)</f>
        <v>50.43999999999983</v>
      </c>
      <c r="H3" s="74">
        <f>IF(VLOOKUP(H1,Azimut!A2:I22,7)="","",VLOOKUP(H1,Azimut!A2:I22,7))</f>
        <v>5</v>
      </c>
      <c r="I3" s="75">
        <f>IF(VLOOKUP(H1,Azimut!A2:I22,8)="","",VLOOKUP(H1,Azimut!A2:I22,8))</f>
        <v>44.4</v>
      </c>
      <c r="J3" s="76" t="str">
        <f>IF(VLOOKUP(H1,[0]!first:last,9)="","",VLOOKUP(H1,[0]!first:last,9))</f>
        <v>N</v>
      </c>
      <c r="K3" s="72">
        <f>IF(VLOOKUP(K1,[0]!first:last,7)="","",VLOOKUP(K1,[0]!first:last,7))</f>
        <v>10</v>
      </c>
      <c r="L3" s="72">
        <f>IF(VLOOKUP(K1,[0]!first:last,8)="","",VLOOKUP(K1,[0]!first:last,8))</f>
        <v>55.1</v>
      </c>
      <c r="M3" s="77" t="str">
        <f>IF(VLOOKUP(K1,[0]!first:last,9)="","",VLOOKUP(K1,[0]!first:last,9))</f>
        <v>W</v>
      </c>
      <c r="N3" s="78">
        <f>IF(VLOOKUP(N1,[0]!first:last,7)="","",VLOOKUP(N1,[0]!first:last,7))</f>
        <v>137</v>
      </c>
      <c r="O3" s="78">
        <f>IF(VLOOKUP(O1,[0]!first:last,7)="","",VLOOKUP(O1,[0]!first:last,7))</f>
        <v>121</v>
      </c>
      <c r="P3" s="79">
        <f>IF(VLOOKUP(P1,[0]!first:last,7)="","",VLOOKUP(P1,[0]!first:last,7))</f>
        <v>66</v>
      </c>
      <c r="Q3" s="79">
        <f>VLOOKUP(Q1,[0]!first:last,7)</f>
        <v>65.34062442885013</v>
      </c>
      <c r="R3" s="80">
        <f>VLOOKUP(R1,[0]!first:last,7)</f>
        <v>-0.6593755711498659</v>
      </c>
      <c r="S3" s="81">
        <f>IF(VLOOKUP(S1,[0]!first:last,7)="","",VLOOKUP(S1,[0]!first:last,7))</f>
        <v>8.7</v>
      </c>
      <c r="T3" s="77" t="str">
        <f>IF(VLOOKUP(S1,[0]!first:last,8)="","",VLOOKUP(S1,[0]!first:last,8))</f>
        <v>W</v>
      </c>
      <c r="U3" s="82">
        <f>VLOOKUP(U1,[0]!first:last,7)</f>
        <v>-7.959375571149867</v>
      </c>
      <c r="V3" s="82">
        <f>VLOOKUP(V1,[0]!first:last,7)</f>
        <v>0.6069549027122086</v>
      </c>
      <c r="W3" s="82">
        <f>VLOOKUP(W1,[0]!first:last,7)</f>
        <v>-1.2663304738620744</v>
      </c>
    </row>
    <row r="4" spans="1:23" ht="12">
      <c r="A4" s="50"/>
      <c r="B4" s="51"/>
      <c r="C4" s="52"/>
      <c r="D4" s="53"/>
      <c r="E4" s="53"/>
      <c r="F4" s="54"/>
      <c r="G4" s="55"/>
      <c r="H4" s="56"/>
      <c r="I4" s="57"/>
      <c r="J4" s="58"/>
      <c r="K4" s="54"/>
      <c r="L4" s="57"/>
      <c r="M4" s="58"/>
      <c r="N4" s="54"/>
      <c r="O4" s="54"/>
      <c r="P4" s="59"/>
      <c r="Q4" s="59"/>
      <c r="R4" s="60"/>
      <c r="S4" s="60"/>
      <c r="T4" s="61"/>
      <c r="U4" s="40"/>
      <c r="V4" s="40"/>
      <c r="W4" s="40"/>
    </row>
  </sheetData>
  <sheetProtection password="CA5B" sheet="1" objects="1" scenarios="1"/>
  <printOptions horizontalCentered="1"/>
  <pageMargins left="0.1968503937007874" right="0.1968503937007874" top="6.496062992125984" bottom="0.3937007874015748" header="0.5118110236220472" footer="0.5118110236220472"/>
  <pageSetup blackAndWhite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Garbuziuk, LT</dc:creator>
  <cp:keywords/>
  <dc:description/>
  <cp:lastModifiedBy>Castella</cp:lastModifiedBy>
  <cp:lastPrinted>2006-10-19T15:56:23Z</cp:lastPrinted>
  <dcterms:created xsi:type="dcterms:W3CDTF">2006-03-26T14:24:53Z</dcterms:created>
  <dcterms:modified xsi:type="dcterms:W3CDTF">2006-11-06T19:45:01Z</dcterms:modified>
  <cp:category/>
  <cp:version/>
  <cp:contentType/>
  <cp:contentStatus/>
</cp:coreProperties>
</file>