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90" windowHeight="6030" activeTab="0"/>
  </bookViews>
  <sheets>
    <sheet name="SUN" sheetId="1" r:id="rId1"/>
    <sheet name="MOON " sheetId="2" r:id="rId2"/>
    <sheet name="VENUS &amp; MARS" sheetId="3" r:id="rId3"/>
    <sheet name="PLANETS" sheetId="4" r:id="rId4"/>
    <sheet name="STARS" sheetId="5" r:id="rId5"/>
  </sheets>
  <definedNames/>
  <calcPr fullCalcOnLoad="1"/>
</workbook>
</file>

<file path=xl/comments1.xml><?xml version="1.0" encoding="utf-8"?>
<comments xmlns="http://schemas.openxmlformats.org/spreadsheetml/2006/main">
  <authors>
    <author>ANDREY  VYBOROV</author>
    <author>Aleksey Shalimov</author>
  </authors>
  <commentList>
    <comment ref="C5" authorId="0">
      <text>
        <r>
          <rPr>
            <sz val="10"/>
            <rFont val="Arial"/>
            <family val="0"/>
          </rPr>
          <t>IF PRESSURE AND TEMPERATURE UNKNOWN THAN  insert
P=1010
T=10</t>
        </r>
        <r>
          <rPr>
            <sz val="10"/>
            <rFont val="Arial"/>
            <family val="0"/>
          </rPr>
          <t xml:space="preserve">
</t>
        </r>
      </text>
    </comment>
    <comment ref="A15" authorId="0">
      <text>
        <r>
          <rPr>
            <sz val="10"/>
            <rFont val="Arial"/>
            <family val="0"/>
          </rPr>
          <t>BODY'S MEASURED ALTITUDE</t>
        </r>
        <r>
          <rPr>
            <sz val="10"/>
            <rFont val="Arial"/>
            <family val="0"/>
          </rPr>
          <t xml:space="preserve">
</t>
        </r>
      </text>
    </comment>
    <comment ref="J6" authorId="0">
      <text>
        <r>
          <rPr>
            <sz val="10"/>
            <rFont val="Arial"/>
            <family val="0"/>
          </rPr>
          <t xml:space="preserve">C1,C2- CALCULATED COEFFICIENTS
</t>
        </r>
      </text>
    </comment>
    <comment ref="F13" authorId="1">
      <text>
        <r>
          <rPr>
            <sz val="10"/>
            <rFont val="Arial"/>
            <family val="0"/>
          </rPr>
          <t>Ho-altitude of celestial body in own position.
Apparent altitude corrected for refraction, parallax and semi-diameter.</t>
        </r>
      </text>
    </comment>
    <comment ref="A18" authorId="0">
      <text>
        <r>
          <rPr>
            <sz val="10"/>
            <rFont val="Arial"/>
            <family val="0"/>
          </rPr>
          <t>Intercept between estimated position and position line .</t>
        </r>
      </text>
    </comment>
    <comment ref="D3" authorId="0">
      <text>
        <r>
          <rPr>
            <sz val="10"/>
            <rFont val="Arial"/>
            <family val="0"/>
          </rPr>
          <t>DATE-  dd.mm.ee</t>
        </r>
      </text>
    </comment>
    <comment ref="C3" authorId="0">
      <text>
        <r>
          <rPr>
            <sz val="10"/>
            <rFont val="Arial"/>
            <family val="0"/>
          </rPr>
          <t>Time-   hh:mm</t>
        </r>
      </text>
    </comment>
    <comment ref="E15" authorId="0">
      <text>
        <r>
          <rPr>
            <sz val="10"/>
            <rFont val="Arial"/>
            <family val="0"/>
          </rPr>
          <t xml:space="preserve">Lower/Upper
</t>
        </r>
      </text>
    </comment>
    <comment ref="C23" authorId="0">
      <text>
        <r>
          <rPr>
            <sz val="10"/>
            <rFont val="Arial"/>
            <family val="0"/>
          </rPr>
          <t xml:space="preserve">Time-   hh:mm
</t>
        </r>
      </text>
    </comment>
    <comment ref="D23" authorId="0">
      <text>
        <r>
          <rPr>
            <sz val="10"/>
            <rFont val="Arial"/>
            <family val="0"/>
          </rPr>
          <t xml:space="preserve">DATE-  dd.mm.ee
</t>
        </r>
      </text>
    </comment>
    <comment ref="C25" authorId="0">
      <text>
        <r>
          <rPr>
            <sz val="10"/>
            <rFont val="Arial"/>
            <family val="0"/>
          </rPr>
          <t>IF PRESSURE AND TEMPERATURE UNKNOWN THAN  insert
P=1010
T=10</t>
        </r>
        <r>
          <rPr>
            <sz val="10"/>
            <rFont val="Arial"/>
            <family val="0"/>
          </rPr>
          <t xml:space="preserve">
</t>
        </r>
      </text>
    </comment>
    <comment ref="E35" authorId="0">
      <text>
        <r>
          <rPr>
            <sz val="10"/>
            <rFont val="Arial"/>
            <family val="0"/>
          </rPr>
          <t xml:space="preserve">Lower/Upper
</t>
        </r>
      </text>
    </comment>
  </commentList>
</comments>
</file>

<file path=xl/comments2.xml><?xml version="1.0" encoding="utf-8"?>
<comments xmlns="http://schemas.openxmlformats.org/spreadsheetml/2006/main">
  <authors>
    <author>ANDREY  VYBOROV</author>
    <author>Aleksey Shalimov</author>
  </authors>
  <commentList>
    <comment ref="C4" authorId="0">
      <text>
        <r>
          <rPr>
            <sz val="10"/>
            <rFont val="Arial"/>
            <family val="0"/>
          </rPr>
          <t>IF PRESSURE AND TEMPERATURE UNKNOWN THAN
P=1010
T=10</t>
        </r>
        <r>
          <rPr>
            <sz val="10"/>
            <rFont val="Arial"/>
            <family val="0"/>
          </rPr>
          <t xml:space="preserve">
</t>
        </r>
      </text>
    </comment>
    <comment ref="A16" authorId="0">
      <text>
        <r>
          <rPr>
            <sz val="10"/>
            <rFont val="Arial"/>
            <family val="0"/>
          </rPr>
          <t>BODY'S MEASURED ALTITUDE</t>
        </r>
        <r>
          <rPr>
            <sz val="10"/>
            <rFont val="Arial"/>
            <family val="0"/>
          </rPr>
          <t xml:space="preserve">
</t>
        </r>
      </text>
    </comment>
    <comment ref="J21" authorId="0">
      <text>
        <r>
          <rPr>
            <sz val="10"/>
            <rFont val="Arial"/>
            <family val="0"/>
          </rPr>
          <t xml:space="preserve">C1,C2- CALCULATED COEFFICIENTS
</t>
        </r>
      </text>
    </comment>
    <comment ref="A31" authorId="1">
      <text>
        <r>
          <rPr>
            <sz val="10"/>
            <rFont val="Arial"/>
            <family val="0"/>
          </rPr>
          <t>Ho-altitude of celestial body in own position.
Apparent altitude corrected for refraction, parallax and semi-diameter.</t>
        </r>
      </text>
    </comment>
    <comment ref="A33" authorId="0">
      <text>
        <r>
          <rPr>
            <sz val="10"/>
            <rFont val="Arial"/>
            <family val="0"/>
          </rPr>
          <t>Intercept between estimated position and position line .</t>
        </r>
      </text>
    </comment>
    <comment ref="D2" authorId="0">
      <text>
        <r>
          <rPr>
            <sz val="10"/>
            <rFont val="Arial"/>
            <family val="0"/>
          </rPr>
          <t>DATE-  dd.mm.ee</t>
        </r>
      </text>
    </comment>
    <comment ref="C2" authorId="0">
      <text>
        <r>
          <rPr>
            <sz val="10"/>
            <rFont val="Arial"/>
            <family val="0"/>
          </rPr>
          <t>Time-   hh:mm</t>
        </r>
      </text>
    </comment>
    <comment ref="E16" authorId="0">
      <text>
        <r>
          <rPr>
            <sz val="10"/>
            <rFont val="Arial"/>
            <family val="0"/>
          </rPr>
          <t xml:space="preserve">Lower/Upper
</t>
        </r>
      </text>
    </comment>
  </commentList>
</comments>
</file>

<file path=xl/comments3.xml><?xml version="1.0" encoding="utf-8"?>
<comments xmlns="http://schemas.openxmlformats.org/spreadsheetml/2006/main">
  <authors>
    <author>ANDREY  VYBOROV</author>
  </authors>
  <commentList>
    <comment ref="C2" authorId="0">
      <text>
        <r>
          <rPr>
            <sz val="10"/>
            <rFont val="Arial"/>
            <family val="0"/>
          </rPr>
          <t>Time-   hh:mm</t>
        </r>
      </text>
    </comment>
    <comment ref="D2" authorId="0">
      <text>
        <r>
          <rPr>
            <sz val="10"/>
            <rFont val="Arial"/>
            <family val="0"/>
          </rPr>
          <t>DATE-  dd.mm.ee</t>
        </r>
      </text>
    </comment>
    <comment ref="C4" authorId="0">
      <text>
        <r>
          <rPr>
            <sz val="10"/>
            <rFont val="Arial"/>
            <family val="0"/>
          </rPr>
          <t>IF PRESSURE AND TEMPERATURE UNKNOWN THAN
P=1010
T=10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ANDREY  VYBOROV</author>
  </authors>
  <commentList>
    <comment ref="C2" authorId="0">
      <text>
        <r>
          <rPr>
            <sz val="10"/>
            <rFont val="Arial"/>
            <family val="0"/>
          </rPr>
          <t>Time-   hh:mm</t>
        </r>
      </text>
    </comment>
    <comment ref="D2" authorId="0">
      <text>
        <r>
          <rPr>
            <sz val="10"/>
            <rFont val="Arial"/>
            <family val="0"/>
          </rPr>
          <t>DATE-  dd.mm.ee</t>
        </r>
      </text>
    </comment>
    <comment ref="C4" authorId="0">
      <text>
        <r>
          <rPr>
            <sz val="10"/>
            <rFont val="Arial"/>
            <family val="0"/>
          </rPr>
          <t>IF PRESSURE AND TEMPERATURE UNKNOWN THAN
P=1010
T=10</t>
        </r>
        <r>
          <rPr>
            <sz val="10"/>
            <rFont val="Arial"/>
            <family val="0"/>
          </rPr>
          <t xml:space="preserve">
</t>
        </r>
      </text>
    </comment>
    <comment ref="C36" authorId="0">
      <text>
        <r>
          <rPr>
            <sz val="10"/>
            <rFont val="Arial"/>
            <family val="0"/>
          </rPr>
          <t>Time-   hh:mm</t>
        </r>
      </text>
    </comment>
    <comment ref="D36" authorId="0">
      <text>
        <r>
          <rPr>
            <sz val="10"/>
            <rFont val="Arial"/>
            <family val="0"/>
          </rPr>
          <t>DATE-  dd.mm.ee</t>
        </r>
      </text>
    </comment>
    <comment ref="C38" authorId="0">
      <text>
        <r>
          <rPr>
            <sz val="10"/>
            <rFont val="Arial"/>
            <family val="0"/>
          </rPr>
          <t>IF PRESSURE AND TEMPERATURE UNKNOWN THAN
P=1010
T=10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ANDREY  VYBOROV</author>
  </authors>
  <commentList>
    <comment ref="C4" authorId="0">
      <text>
        <r>
          <rPr>
            <sz val="10"/>
            <rFont val="Arial"/>
            <family val="0"/>
          </rPr>
          <t>IF PRESSURE AND TEMPERATURE UNKNOWN THAN
P=1010
T=10</t>
        </r>
        <r>
          <rPr>
            <sz val="10"/>
            <rFont val="Arial"/>
            <family val="0"/>
          </rPr>
          <t xml:space="preserve">
</t>
        </r>
      </text>
    </comment>
    <comment ref="C2" authorId="0">
      <text>
        <r>
          <rPr>
            <sz val="10"/>
            <rFont val="Arial"/>
            <family val="0"/>
          </rPr>
          <t>Time-   hh:mm</t>
        </r>
      </text>
    </comment>
    <comment ref="D2" authorId="0">
      <text>
        <r>
          <rPr>
            <sz val="10"/>
            <rFont val="Arial"/>
            <family val="0"/>
          </rPr>
          <t>DATE-  dd.mm.ee</t>
        </r>
      </text>
    </comment>
    <comment ref="C80" authorId="0">
      <text>
        <r>
          <rPr>
            <sz val="10"/>
            <rFont val="Arial"/>
            <family val="0"/>
          </rPr>
          <t>ANDREY  VYBOROV: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Time-   hh:mm</t>
        </r>
      </text>
    </comment>
    <comment ref="D80" authorId="0">
      <text>
        <r>
          <rPr>
            <sz val="10"/>
            <rFont val="Arial"/>
            <family val="0"/>
          </rPr>
          <t>DATE-  dd.mm.ee</t>
        </r>
      </text>
    </comment>
    <comment ref="C82" authorId="0">
      <text>
        <r>
          <rPr>
            <sz val="10"/>
            <rFont val="Arial"/>
            <family val="0"/>
          </rPr>
          <t>IF PRESSURE AND TEMPERATURE UNKNOWN THAN
P=1010
T=10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<sst xmlns="http://schemas.openxmlformats.org/spreadsheetml/2006/main" count="701" uniqueCount="86">
  <si>
    <t>Hs</t>
  </si>
  <si>
    <t>i+s</t>
  </si>
  <si>
    <t>D</t>
  </si>
  <si>
    <t>H</t>
  </si>
  <si>
    <t>R</t>
  </si>
  <si>
    <t>Ro</t>
  </si>
  <si>
    <t>f</t>
  </si>
  <si>
    <t>HP</t>
  </si>
  <si>
    <t>PA</t>
  </si>
  <si>
    <t>Ho</t>
  </si>
  <si>
    <t>GHA</t>
  </si>
  <si>
    <t>GMT</t>
  </si>
  <si>
    <t>Corr. GHA</t>
  </si>
  <si>
    <t>Long.</t>
  </si>
  <si>
    <t>Corr. Dec.</t>
  </si>
  <si>
    <t>C1</t>
  </si>
  <si>
    <t>C2</t>
  </si>
  <si>
    <t>Hc</t>
  </si>
  <si>
    <t>GHA"</t>
  </si>
  <si>
    <t>LHA</t>
  </si>
  <si>
    <t>Declination</t>
  </si>
  <si>
    <t>Latitude</t>
  </si>
  <si>
    <t>Longitude</t>
  </si>
  <si>
    <t>Min</t>
  </si>
  <si>
    <t>Sext.altitude</t>
  </si>
  <si>
    <t>Sext.error</t>
  </si>
  <si>
    <t>d</t>
  </si>
  <si>
    <t>Dd</t>
  </si>
  <si>
    <t>Degrees</t>
  </si>
  <si>
    <t>Dip of horizont</t>
  </si>
  <si>
    <t>e</t>
  </si>
  <si>
    <t>P</t>
  </si>
  <si>
    <t>T</t>
  </si>
  <si>
    <t>Air temperat.</t>
  </si>
  <si>
    <t>Pressure</t>
  </si>
  <si>
    <t>Height of eye</t>
  </si>
  <si>
    <t>l</t>
  </si>
  <si>
    <t>j</t>
  </si>
  <si>
    <t>Horizon. Parallax</t>
  </si>
  <si>
    <t>Parallax in altitude</t>
  </si>
  <si>
    <t>Atmosph. Refraction</t>
  </si>
  <si>
    <t>Atmosph. Correction</t>
  </si>
  <si>
    <t>Stand. Refraction</t>
  </si>
  <si>
    <t>Apparent altitude</t>
  </si>
  <si>
    <t>Ra</t>
  </si>
  <si>
    <t>Observed altitude</t>
  </si>
  <si>
    <t>Semi-diameter</t>
  </si>
  <si>
    <t>in meters</t>
  </si>
  <si>
    <t>milibars</t>
  </si>
  <si>
    <t>Celsius</t>
  </si>
  <si>
    <t>LHA"</t>
  </si>
  <si>
    <t>N</t>
  </si>
  <si>
    <t>W</t>
  </si>
  <si>
    <t>X</t>
  </si>
  <si>
    <t>A</t>
  </si>
  <si>
    <t>Z</t>
  </si>
  <si>
    <t>Intercept</t>
  </si>
  <si>
    <t>p</t>
  </si>
  <si>
    <t>Azimuth</t>
  </si>
  <si>
    <r>
      <t>D</t>
    </r>
    <r>
      <rPr>
        <b/>
        <sz val="10"/>
        <rFont val="Arial"/>
        <family val="2"/>
      </rPr>
      <t>GHA</t>
    </r>
  </si>
  <si>
    <t>minutes</t>
  </si>
  <si>
    <t>degrees</t>
  </si>
  <si>
    <t>Data</t>
  </si>
  <si>
    <r>
      <t xml:space="preserve">   d</t>
    </r>
    <r>
      <rPr>
        <b/>
        <sz val="10"/>
        <rFont val="Arial"/>
        <family val="2"/>
      </rPr>
      <t>"</t>
    </r>
  </si>
  <si>
    <t xml:space="preserve">  d</t>
  </si>
  <si>
    <t>Horizontal Parallax</t>
  </si>
  <si>
    <r>
      <t>D</t>
    </r>
    <r>
      <rPr>
        <b/>
        <sz val="10"/>
        <rFont val="Arial"/>
        <family val="2"/>
      </rPr>
      <t>t(v)</t>
    </r>
  </si>
  <si>
    <t>Increments</t>
  </si>
  <si>
    <t>L</t>
  </si>
  <si>
    <t>Correction for (v)</t>
  </si>
  <si>
    <t>SHA</t>
  </si>
  <si>
    <t>12.02.99</t>
  </si>
  <si>
    <t>E</t>
  </si>
  <si>
    <t>W or E</t>
  </si>
  <si>
    <t>N or S</t>
  </si>
  <si>
    <t>2nd line</t>
  </si>
  <si>
    <t>1st line</t>
  </si>
  <si>
    <t>Observation:</t>
  </si>
  <si>
    <t>Ship`s position determined by means of two psn lines</t>
  </si>
  <si>
    <t>Difference between psn obtained fm GPS &amp; celestial position Brg:</t>
  </si>
  <si>
    <t>nm</t>
  </si>
  <si>
    <t>OOW:</t>
  </si>
  <si>
    <t>s</t>
  </si>
  <si>
    <t>ch/t ''QURTUBA''</t>
  </si>
  <si>
    <t>3/OFF.</t>
  </si>
  <si>
    <t>01.11.03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</si>
</sst>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"/>
    <numFmt numFmtId="175" formatCode="0.000000"/>
    <numFmt numFmtId="176" formatCode="0.0000E+00;\Đ"/>
    <numFmt numFmtId="177" formatCode="0.0000E+00;\ઐ"/>
    <numFmt numFmtId="178" formatCode="0.000E+00;\ઐ"/>
    <numFmt numFmtId="179" formatCode="0.00E+00;\ઐ"/>
    <numFmt numFmtId="180" formatCode="0.0E+00;\ઐ"/>
    <numFmt numFmtId="181" formatCode="0E+00;\ઐ"/>
    <numFmt numFmtId="182" formatCode="0.0000E+00;\뤘"/>
    <numFmt numFmtId="183" formatCode="0.000E+00;\뤘"/>
    <numFmt numFmtId="184" formatCode="0.00E+00;\뤘"/>
    <numFmt numFmtId="185" formatCode="0.0E+00;\뤘"/>
    <numFmt numFmtId="186" formatCode="0E+00;\뤘"/>
    <numFmt numFmtId="187" formatCode="0.000"/>
    <numFmt numFmtId="188" formatCode="0.0000000"/>
  </numFmts>
  <fonts count="18">
    <font>
      <sz val="10"/>
      <name val="Arial"/>
      <family val="0"/>
    </font>
    <font>
      <sz val="8"/>
      <name val="Arial"/>
      <family val="2"/>
    </font>
    <font>
      <sz val="8"/>
      <name val="Tahoma"/>
      <family val="0"/>
    </font>
    <font>
      <sz val="4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b/>
      <sz val="10"/>
      <name val="Calisto MT"/>
      <family val="1"/>
    </font>
    <font>
      <b/>
      <sz val="11"/>
      <name val="Comic Sans MS"/>
      <family val="4"/>
    </font>
    <font>
      <b/>
      <u val="single"/>
      <sz val="11"/>
      <name val="Comic Sans MS"/>
      <family val="4"/>
    </font>
    <font>
      <b/>
      <u val="single"/>
      <sz val="11"/>
      <name val="Arial"/>
      <family val="2"/>
    </font>
    <font>
      <b/>
      <sz val="10"/>
      <color indexed="10"/>
      <name val="Calisto MT"/>
      <family val="1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0"/>
      <name val="Calisto MT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73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174" fontId="9" fillId="3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2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73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73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/>
    </xf>
    <xf numFmtId="174" fontId="0" fillId="2" borderId="1" xfId="0" applyNumberFormat="1" applyFont="1" applyFill="1" applyBorder="1" applyAlignment="1">
      <alignment/>
    </xf>
    <xf numFmtId="174" fontId="0" fillId="2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173" fontId="12" fillId="0" borderId="1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73" fontId="0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173" fontId="0" fillId="0" borderId="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3" fontId="0" fillId="0" borderId="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73" fontId="0" fillId="0" borderId="7" xfId="0" applyNumberFormat="1" applyFont="1" applyFill="1" applyBorder="1" applyAlignment="1">
      <alignment horizontal="center"/>
    </xf>
    <xf numFmtId="173" fontId="0" fillId="0" borderId="8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3" borderId="0" xfId="0" applyFill="1" applyAlignment="1">
      <alignment/>
    </xf>
    <xf numFmtId="0" fontId="7" fillId="5" borderId="1" xfId="0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174" fontId="9" fillId="5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174" fontId="0" fillId="0" borderId="0" xfId="0" applyNumberFormat="1" applyFont="1" applyFill="1" applyAlignment="1">
      <alignment/>
    </xf>
    <xf numFmtId="175" fontId="0" fillId="0" borderId="1" xfId="0" applyNumberFormat="1" applyFont="1" applyFill="1" applyBorder="1" applyAlignment="1">
      <alignment horizontal="center"/>
    </xf>
    <xf numFmtId="175" fontId="0" fillId="0" borderId="0" xfId="0" applyNumberFormat="1" applyFont="1" applyFill="1" applyAlignment="1">
      <alignment/>
    </xf>
    <xf numFmtId="0" fontId="0" fillId="6" borderId="1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" fontId="0" fillId="2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8" fillId="7" borderId="1" xfId="0" applyFont="1" applyFill="1" applyBorder="1" applyAlignment="1">
      <alignment horizontal="center"/>
    </xf>
    <xf numFmtId="174" fontId="9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13</xdr:row>
      <xdr:rowOff>0</xdr:rowOff>
    </xdr:from>
    <xdr:to>
      <xdr:col>10</xdr:col>
      <xdr:colOff>419100</xdr:colOff>
      <xdr:row>16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248150" y="2400300"/>
          <a:ext cx="212407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Planet No 1</a:t>
          </a:r>
        </a:p>
      </xdr:txBody>
    </xdr:sp>
    <xdr:clientData/>
  </xdr:twoCellAnchor>
  <xdr:twoCellAnchor>
    <xdr:from>
      <xdr:col>5</xdr:col>
      <xdr:colOff>619125</xdr:colOff>
      <xdr:row>47</xdr:row>
      <xdr:rowOff>0</xdr:rowOff>
    </xdr:from>
    <xdr:to>
      <xdr:col>10</xdr:col>
      <xdr:colOff>419100</xdr:colOff>
      <xdr:row>50</xdr:row>
      <xdr:rowOff>38100</xdr:rowOff>
    </xdr:to>
    <xdr:sp>
      <xdr:nvSpPr>
        <xdr:cNvPr id="2" name="AutoShape 6"/>
        <xdr:cNvSpPr>
          <a:spLocks/>
        </xdr:cNvSpPr>
      </xdr:nvSpPr>
      <xdr:spPr>
        <a:xfrm>
          <a:off x="4248150" y="8524875"/>
          <a:ext cx="212407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Planet No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161925</xdr:rowOff>
    </xdr:from>
    <xdr:to>
      <xdr:col>10</xdr:col>
      <xdr:colOff>28575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276725" y="552450"/>
          <a:ext cx="170497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Star No 1</a:t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0</xdr:colOff>
      <xdr:row>43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267200" y="7477125"/>
          <a:ext cx="1685925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Star No 2</a:t>
          </a:r>
        </a:p>
      </xdr:txBody>
    </xdr:sp>
    <xdr:clientData/>
  </xdr:twoCellAnchor>
  <xdr:twoCellAnchor>
    <xdr:from>
      <xdr:col>6</xdr:col>
      <xdr:colOff>9525</xdr:colOff>
      <xdr:row>80</xdr:row>
      <xdr:rowOff>9525</xdr:rowOff>
    </xdr:from>
    <xdr:to>
      <xdr:col>10</xdr:col>
      <xdr:colOff>19050</xdr:colOff>
      <xdr:row>82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276725" y="14401800"/>
          <a:ext cx="169545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Star No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5" zoomScaleNormal="75" workbookViewId="0" topLeftCell="A1">
      <selection activeCell="D16" sqref="D16"/>
    </sheetView>
  </sheetViews>
  <sheetFormatPr defaultColWidth="9.140625" defaultRowHeight="12.75"/>
  <cols>
    <col min="1" max="1" width="22.7109375" style="0" customWidth="1"/>
    <col min="2" max="2" width="6.28125" style="0" customWidth="1"/>
    <col min="3" max="3" width="10.140625" style="0" customWidth="1"/>
    <col min="4" max="4" width="8.00390625" style="0" customWidth="1"/>
    <col min="5" max="5" width="6.8515625" style="0" customWidth="1"/>
    <col min="6" max="6" width="22.28125" style="0" customWidth="1"/>
    <col min="7" max="7" width="6.7109375" style="0" customWidth="1"/>
    <col min="9" max="9" width="9.8515625" style="0" bestFit="1" customWidth="1"/>
    <col min="10" max="10" width="7.140625" style="0" customWidth="1"/>
    <col min="11" max="11" width="12.140625" style="0" customWidth="1"/>
    <col min="12" max="12" width="9.28125" style="0" bestFit="1" customWidth="1"/>
  </cols>
  <sheetData>
    <row r="1" ht="15.75">
      <c r="A1" s="109" t="s">
        <v>83</v>
      </c>
    </row>
    <row r="2" spans="1:12" ht="30.75" customHeight="1">
      <c r="A2" s="110" t="s">
        <v>76</v>
      </c>
      <c r="B2" s="1"/>
      <c r="C2" s="5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10" t="s">
        <v>11</v>
      </c>
      <c r="B3" s="13" t="s">
        <v>11</v>
      </c>
      <c r="C3" s="31">
        <v>0.2916666666666667</v>
      </c>
      <c r="D3" s="19" t="s">
        <v>85</v>
      </c>
      <c r="E3" s="2"/>
      <c r="F3" s="10" t="s">
        <v>24</v>
      </c>
      <c r="G3" s="11" t="s">
        <v>0</v>
      </c>
      <c r="H3" s="12">
        <f>C15+D15/60</f>
        <v>66.485</v>
      </c>
      <c r="I3" s="2"/>
      <c r="J3" s="103">
        <f>N9-180</f>
        <v>109.0933333333333</v>
      </c>
      <c r="K3" s="2"/>
      <c r="L3" s="2"/>
    </row>
    <row r="4" spans="1:12" ht="13.5">
      <c r="A4" s="10" t="s">
        <v>35</v>
      </c>
      <c r="B4" s="13" t="s">
        <v>30</v>
      </c>
      <c r="C4" s="18">
        <v>21</v>
      </c>
      <c r="D4" s="25" t="s">
        <v>47</v>
      </c>
      <c r="E4" s="2"/>
      <c r="F4" s="10" t="s">
        <v>25</v>
      </c>
      <c r="G4" s="11" t="s">
        <v>1</v>
      </c>
      <c r="H4" s="12">
        <f>C16+D16/60</f>
        <v>-0.02666666666666667</v>
      </c>
      <c r="I4" s="2"/>
      <c r="J4" s="103">
        <f>360-N9</f>
        <v>70.9066666666667</v>
      </c>
      <c r="K4" s="2"/>
      <c r="L4" s="2"/>
    </row>
    <row r="5" spans="1:12" ht="14.25" thickBot="1">
      <c r="A5" s="10" t="s">
        <v>34</v>
      </c>
      <c r="B5" s="13" t="s">
        <v>31</v>
      </c>
      <c r="C5" s="18">
        <v>1032</v>
      </c>
      <c r="D5" s="25" t="s">
        <v>48</v>
      </c>
      <c r="E5" s="2"/>
      <c r="F5" s="63" t="s">
        <v>29</v>
      </c>
      <c r="G5" s="64" t="s">
        <v>2</v>
      </c>
      <c r="H5" s="83">
        <f>0.0293*SQRT(C4)</f>
        <v>0.13426946786220612</v>
      </c>
      <c r="I5" s="98"/>
      <c r="J5" s="98"/>
      <c r="K5" s="2"/>
      <c r="L5" s="2"/>
    </row>
    <row r="6" spans="1:16" ht="14.25" thickTop="1">
      <c r="A6" s="10" t="s">
        <v>33</v>
      </c>
      <c r="B6" s="13" t="s">
        <v>32</v>
      </c>
      <c r="C6" s="18">
        <v>29</v>
      </c>
      <c r="D6" s="25" t="s">
        <v>49</v>
      </c>
      <c r="E6" s="2"/>
      <c r="F6" s="60" t="s">
        <v>43</v>
      </c>
      <c r="G6" s="61" t="s">
        <v>3</v>
      </c>
      <c r="H6" s="82">
        <f>H3+H4-H5</f>
        <v>66.32406386547112</v>
      </c>
      <c r="I6" s="2"/>
      <c r="J6" s="17" t="s">
        <v>15</v>
      </c>
      <c r="K6" s="100">
        <f>SIN(RADIANS(P8))</f>
        <v>-0.2472808775190176</v>
      </c>
      <c r="L6" s="2"/>
      <c r="M6" s="13" t="s">
        <v>11</v>
      </c>
      <c r="N6" s="59">
        <f>C3</f>
        <v>0.2916666666666667</v>
      </c>
      <c r="O6" s="16" t="s">
        <v>63</v>
      </c>
      <c r="P6" s="15">
        <f>C12+D12/60</f>
        <v>14.316666666666666</v>
      </c>
    </row>
    <row r="7" spans="1:16" ht="13.5" customHeight="1" thickBot="1">
      <c r="A7" s="6"/>
      <c r="B7" s="1"/>
      <c r="C7" s="8" t="s">
        <v>28</v>
      </c>
      <c r="D7" s="8" t="s">
        <v>23</v>
      </c>
      <c r="E7" s="8"/>
      <c r="F7" s="10" t="s">
        <v>42</v>
      </c>
      <c r="G7" s="11" t="s">
        <v>5</v>
      </c>
      <c r="H7" s="12">
        <f>0.0167/TAN(RADIANS(H6+7.31/(H6+4.4)))</f>
        <v>0.007286533862878065</v>
      </c>
      <c r="I7" s="2"/>
      <c r="J7" s="17" t="s">
        <v>16</v>
      </c>
      <c r="K7" s="100">
        <f>COS(RADIANS(P8))*COS(RADIANS(N12))</f>
        <v>0.9464976810175425</v>
      </c>
      <c r="L7" s="2"/>
      <c r="M7" s="13" t="s">
        <v>18</v>
      </c>
      <c r="N7" s="15">
        <f>C10+D10/60</f>
        <v>289.0933333333333</v>
      </c>
      <c r="O7" s="85" t="s">
        <v>27</v>
      </c>
      <c r="P7" s="86">
        <f>C13+D13/60</f>
        <v>0</v>
      </c>
    </row>
    <row r="8" spans="1:16" ht="14.25" thickTop="1">
      <c r="A8" s="10" t="s">
        <v>21</v>
      </c>
      <c r="B8" s="16" t="s">
        <v>37</v>
      </c>
      <c r="C8" s="18">
        <v>5</v>
      </c>
      <c r="D8" s="19">
        <v>45.8</v>
      </c>
      <c r="E8" s="20" t="s">
        <v>51</v>
      </c>
      <c r="F8" s="10" t="s">
        <v>41</v>
      </c>
      <c r="G8" s="11" t="s">
        <v>6</v>
      </c>
      <c r="H8" s="12">
        <f>0.28*C5/(C6+273)</f>
        <v>0.9568211920529802</v>
      </c>
      <c r="I8" s="2"/>
      <c r="J8" s="17" t="s">
        <v>17</v>
      </c>
      <c r="K8" s="100">
        <f>IF(E8="N",DEGREES(ASIN(K6*SIN(RADIANS(C8+D8/60))+K7*COS(RADIANS(C8+D8/60)))),DEGREES(ASIN(K6*SIN(RADIANS(-C8-D8/60))+K7*COS(RADIANS(-C8-D8/60)))))</f>
        <v>66.47434771799665</v>
      </c>
      <c r="L8" s="2"/>
      <c r="M8" s="16" t="s">
        <v>59</v>
      </c>
      <c r="N8" s="15">
        <f>C11+D11/60</f>
        <v>0</v>
      </c>
      <c r="O8" s="87" t="s">
        <v>64</v>
      </c>
      <c r="P8" s="84">
        <f>IF(E12="N",P6+P7,-P6-P7)</f>
        <v>-14.316666666666666</v>
      </c>
    </row>
    <row r="9" spans="1:16" ht="13.5">
      <c r="A9" s="10" t="s">
        <v>22</v>
      </c>
      <c r="B9" s="16" t="s">
        <v>36</v>
      </c>
      <c r="C9" s="18">
        <v>83</v>
      </c>
      <c r="D9" s="19">
        <v>15.8</v>
      </c>
      <c r="E9" s="19" t="s">
        <v>72</v>
      </c>
      <c r="F9" s="10" t="s">
        <v>40</v>
      </c>
      <c r="G9" s="11" t="s">
        <v>44</v>
      </c>
      <c r="H9" s="12">
        <f>H8*H7</f>
        <v>0.006971910016613397</v>
      </c>
      <c r="I9" s="2"/>
      <c r="J9" s="2"/>
      <c r="K9" s="101"/>
      <c r="L9" s="2"/>
      <c r="M9" s="13" t="s">
        <v>10</v>
      </c>
      <c r="N9" s="15">
        <f>N7+N8</f>
        <v>289.0933333333333</v>
      </c>
      <c r="O9" s="2"/>
      <c r="P9" s="2"/>
    </row>
    <row r="10" spans="1:16" ht="14.25" thickBot="1">
      <c r="A10" s="10" t="s">
        <v>10</v>
      </c>
      <c r="B10" s="13" t="s">
        <v>10</v>
      </c>
      <c r="C10" s="18">
        <v>289</v>
      </c>
      <c r="D10" s="19">
        <v>5.6</v>
      </c>
      <c r="E10" s="102" t="s">
        <v>72</v>
      </c>
      <c r="F10" s="10" t="s">
        <v>38</v>
      </c>
      <c r="G10" s="11" t="s">
        <v>7</v>
      </c>
      <c r="H10" s="12">
        <v>0.0024</v>
      </c>
      <c r="I10" s="2"/>
      <c r="J10" s="17" t="s">
        <v>53</v>
      </c>
      <c r="K10" s="100">
        <f>IF(E8="N",(K6*COS(RADIANS(C8+D8/60))-K7*SIN(RADIANS(C8+D8/60)))/COS(RADIANS(K8)),(K6*COS(RADIANS(-C8-D8/60))-K7*SIN(RADIANS(-C8-D8/60)))/COS(RADIANS(K8)))</f>
        <v>-0.8544898410276267</v>
      </c>
      <c r="L10" s="2"/>
      <c r="M10" s="69" t="s">
        <v>13</v>
      </c>
      <c r="N10" s="86">
        <f>IF(E9="E",C9+D9/60,-(C9+D9/60))</f>
        <v>83.26333333333334</v>
      </c>
      <c r="O10" s="2"/>
      <c r="P10" s="2"/>
    </row>
    <row r="11" spans="1:16" ht="14.25" thickTop="1">
      <c r="A11" s="10" t="s">
        <v>12</v>
      </c>
      <c r="B11" s="16" t="s">
        <v>59</v>
      </c>
      <c r="C11" s="18"/>
      <c r="D11" s="19"/>
      <c r="E11" s="2"/>
      <c r="F11" s="10" t="s">
        <v>39</v>
      </c>
      <c r="G11" s="11" t="s">
        <v>8</v>
      </c>
      <c r="H11" s="12">
        <f>H10*COS(RADIANS(H6))</f>
        <v>0.0009637516049072842</v>
      </c>
      <c r="I11" s="2"/>
      <c r="J11" s="17" t="s">
        <v>54</v>
      </c>
      <c r="K11" s="100">
        <f>DEGREES(ACOS(K10))</f>
        <v>148.70342024110317</v>
      </c>
      <c r="L11" s="2"/>
      <c r="M11" s="66" t="s">
        <v>50</v>
      </c>
      <c r="N11" s="84">
        <f>N9+N10</f>
        <v>372.3566666666666</v>
      </c>
      <c r="O11" s="2"/>
      <c r="P11" s="2"/>
    </row>
    <row r="12" spans="1:16" ht="14.25" thickBot="1">
      <c r="A12" s="10" t="s">
        <v>20</v>
      </c>
      <c r="B12" s="16" t="s">
        <v>26</v>
      </c>
      <c r="C12" s="18">
        <v>14</v>
      </c>
      <c r="D12" s="19">
        <v>19</v>
      </c>
      <c r="E12" s="19" t="s">
        <v>82</v>
      </c>
      <c r="F12" s="63" t="s">
        <v>46</v>
      </c>
      <c r="G12" s="64" t="s">
        <v>4</v>
      </c>
      <c r="H12" s="83">
        <f>C14/60</f>
        <v>0.26833333333333337</v>
      </c>
      <c r="I12" s="2"/>
      <c r="J12" s="17" t="s">
        <v>55</v>
      </c>
      <c r="K12" s="100">
        <f>IF(N12&gt;180,K11,360-K11)</f>
        <v>148.70342024110317</v>
      </c>
      <c r="L12" s="2"/>
      <c r="M12" s="13" t="s">
        <v>19</v>
      </c>
      <c r="N12" s="15">
        <f>IF(N11&lt;0,360+N11,N11)</f>
        <v>372.3566666666666</v>
      </c>
      <c r="O12" s="2"/>
      <c r="P12" s="2"/>
    </row>
    <row r="13" spans="1:12" ht="14.25" thickTop="1">
      <c r="A13" s="10" t="s">
        <v>14</v>
      </c>
      <c r="B13" s="16" t="s">
        <v>27</v>
      </c>
      <c r="C13" s="18"/>
      <c r="D13" s="19"/>
      <c r="E13" s="2"/>
      <c r="F13" s="60" t="s">
        <v>45</v>
      </c>
      <c r="G13" s="61" t="s">
        <v>9</v>
      </c>
      <c r="H13" s="82">
        <f>IF(E15="L",H6-H9+H11+H12,H6-H9+H11-H12)</f>
        <v>66.58638904039275</v>
      </c>
      <c r="I13" s="2"/>
      <c r="J13" s="2"/>
      <c r="K13" s="2">
        <f>IF(N12&gt;360,-(N12-360),N12)</f>
        <v>-12.356666666666626</v>
      </c>
      <c r="L13" s="2"/>
    </row>
    <row r="14" spans="1:12" ht="13.5">
      <c r="A14" s="56" t="s">
        <v>46</v>
      </c>
      <c r="B14" s="57" t="s">
        <v>4</v>
      </c>
      <c r="C14" s="58">
        <v>16.1</v>
      </c>
      <c r="E14" s="2"/>
      <c r="F14" s="2"/>
      <c r="G14" s="2"/>
      <c r="H14" s="2"/>
      <c r="J14" s="2">
        <f>K14+K15</f>
        <v>0</v>
      </c>
      <c r="K14" s="2">
        <f>IF(K13&gt;0,1,-1)</f>
        <v>-1</v>
      </c>
      <c r="L14" s="2" t="s">
        <v>73</v>
      </c>
    </row>
    <row r="15" spans="1:12" ht="13.5">
      <c r="A15" s="10" t="s">
        <v>24</v>
      </c>
      <c r="B15" s="13" t="s">
        <v>0</v>
      </c>
      <c r="C15" s="18">
        <v>66</v>
      </c>
      <c r="D15" s="19">
        <v>29.1</v>
      </c>
      <c r="E15" s="19" t="s">
        <v>68</v>
      </c>
      <c r="F15" s="2"/>
      <c r="G15" s="2"/>
      <c r="H15" s="2"/>
      <c r="J15" s="99">
        <f>IF(J14=0,360-K12,J14)</f>
        <v>211.29657975889683</v>
      </c>
      <c r="K15" s="2">
        <v>1</v>
      </c>
      <c r="L15" s="2" t="s">
        <v>74</v>
      </c>
    </row>
    <row r="16" spans="1:12" ht="13.5">
      <c r="A16" s="10" t="s">
        <v>25</v>
      </c>
      <c r="B16" s="13" t="s">
        <v>1</v>
      </c>
      <c r="C16" s="104">
        <v>0</v>
      </c>
      <c r="D16" s="30">
        <v>-1.6</v>
      </c>
      <c r="E16" s="2"/>
      <c r="F16" s="2"/>
      <c r="G16" s="2"/>
      <c r="H16" s="2"/>
      <c r="J16" s="99">
        <f>IF(J14=2,K13,J14)</f>
        <v>0</v>
      </c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J17" s="99">
        <f>IF(J14=0.5,180-K14,J14)</f>
        <v>0</v>
      </c>
      <c r="K17" s="2"/>
      <c r="L17" s="2"/>
    </row>
    <row r="18" spans="1:12" ht="18">
      <c r="A18" s="105" t="s">
        <v>56</v>
      </c>
      <c r="B18" s="106" t="s">
        <v>57</v>
      </c>
      <c r="C18" s="107">
        <f>(H13-K8)*60</f>
        <v>6.722479343765713</v>
      </c>
      <c r="D18" s="108" t="s">
        <v>60</v>
      </c>
      <c r="E18" s="9"/>
      <c r="J18" s="99">
        <f>IF(J14=-1.5,1800+K15,J14)</f>
        <v>0</v>
      </c>
      <c r="K18" s="9"/>
      <c r="L18" s="9"/>
    </row>
    <row r="19" spans="1:5" ht="18">
      <c r="A19" s="105" t="s">
        <v>58</v>
      </c>
      <c r="B19" s="106" t="s">
        <v>55</v>
      </c>
      <c r="C19" s="107">
        <f>K12</f>
        <v>148.70342024110317</v>
      </c>
      <c r="D19" s="108" t="s">
        <v>61</v>
      </c>
      <c r="E19" s="9"/>
    </row>
    <row r="20" spans="1:5" ht="18">
      <c r="A20" s="112"/>
      <c r="B20" s="113"/>
      <c r="C20" s="114"/>
      <c r="D20" s="115"/>
      <c r="E20" s="9"/>
    </row>
    <row r="21" spans="1:4" ht="12.75">
      <c r="A21" s="111" t="s">
        <v>75</v>
      </c>
      <c r="D21" s="2"/>
    </row>
    <row r="22" spans="1:4" ht="12.75">
      <c r="A22" s="111"/>
      <c r="D22" s="2"/>
    </row>
    <row r="23" spans="1:12" ht="13.5">
      <c r="A23" s="10" t="s">
        <v>11</v>
      </c>
      <c r="B23" s="13" t="s">
        <v>11</v>
      </c>
      <c r="C23" s="31">
        <v>0.375</v>
      </c>
      <c r="D23" s="19" t="s">
        <v>85</v>
      </c>
      <c r="E23" s="2"/>
      <c r="F23" s="10" t="s">
        <v>24</v>
      </c>
      <c r="G23" s="11" t="s">
        <v>0</v>
      </c>
      <c r="H23" s="12">
        <f>C35+D35/60</f>
        <v>42.965</v>
      </c>
      <c r="I23" s="2"/>
      <c r="J23" s="103">
        <f>N29-180</f>
        <v>139.09500000000003</v>
      </c>
      <c r="K23" s="2"/>
      <c r="L23" s="2"/>
    </row>
    <row r="24" spans="1:12" ht="13.5">
      <c r="A24" s="10" t="s">
        <v>35</v>
      </c>
      <c r="B24" s="13" t="s">
        <v>30</v>
      </c>
      <c r="C24" s="18">
        <v>21</v>
      </c>
      <c r="D24" s="25" t="s">
        <v>47</v>
      </c>
      <c r="E24" s="2"/>
      <c r="F24" s="10" t="s">
        <v>25</v>
      </c>
      <c r="G24" s="11" t="s">
        <v>1</v>
      </c>
      <c r="H24" s="12">
        <f>C36+D36/60</f>
        <v>-0.02666666666666667</v>
      </c>
      <c r="I24" s="2"/>
      <c r="J24" s="103">
        <f>360-N29</f>
        <v>40.90499999999997</v>
      </c>
      <c r="K24" s="2"/>
      <c r="L24" s="2"/>
    </row>
    <row r="25" spans="1:12" ht="14.25" thickBot="1">
      <c r="A25" s="10" t="s">
        <v>34</v>
      </c>
      <c r="B25" s="13" t="s">
        <v>31</v>
      </c>
      <c r="C25" s="18">
        <v>1032</v>
      </c>
      <c r="D25" s="25" t="s">
        <v>48</v>
      </c>
      <c r="E25" s="2"/>
      <c r="F25" s="63" t="s">
        <v>29</v>
      </c>
      <c r="G25" s="64" t="s">
        <v>2</v>
      </c>
      <c r="H25" s="83">
        <f>0.0293*SQRT(C24)</f>
        <v>0.13426946786220612</v>
      </c>
      <c r="I25" s="98"/>
      <c r="J25" s="98"/>
      <c r="K25" s="2"/>
      <c r="L25" s="2"/>
    </row>
    <row r="26" spans="1:16" ht="14.25" thickTop="1">
      <c r="A26" s="10" t="s">
        <v>33</v>
      </c>
      <c r="B26" s="13" t="s">
        <v>32</v>
      </c>
      <c r="C26" s="18">
        <v>30</v>
      </c>
      <c r="D26" s="25" t="s">
        <v>49</v>
      </c>
      <c r="E26" s="2"/>
      <c r="F26" s="60" t="s">
        <v>43</v>
      </c>
      <c r="G26" s="61" t="s">
        <v>3</v>
      </c>
      <c r="H26" s="82">
        <f>H23+H24-H25</f>
        <v>42.804063865471136</v>
      </c>
      <c r="I26" s="2"/>
      <c r="J26" s="17" t="s">
        <v>15</v>
      </c>
      <c r="K26" s="100">
        <f>SIN(RADIANS(P28))</f>
        <v>-0.2477318176614111</v>
      </c>
      <c r="L26" s="2"/>
      <c r="M26" s="13" t="s">
        <v>11</v>
      </c>
      <c r="N26" s="59">
        <f>C23</f>
        <v>0.375</v>
      </c>
      <c r="O26" s="16" t="s">
        <v>63</v>
      </c>
      <c r="P26" s="15">
        <f>C32+D32/60</f>
        <v>14.343333333333334</v>
      </c>
    </row>
    <row r="27" spans="1:16" ht="13.5" customHeight="1" thickBot="1">
      <c r="A27" s="6"/>
      <c r="B27" s="1"/>
      <c r="C27" s="8" t="s">
        <v>28</v>
      </c>
      <c r="D27" s="8" t="s">
        <v>23</v>
      </c>
      <c r="E27" s="8"/>
      <c r="F27" s="10" t="s">
        <v>42</v>
      </c>
      <c r="G27" s="11" t="s">
        <v>5</v>
      </c>
      <c r="H27" s="12">
        <f>0.0167/TAN(RADIANS(H26+7.31/(H26+4.4)))</f>
        <v>0.01793431803602389</v>
      </c>
      <c r="I27" s="2"/>
      <c r="J27" s="17" t="s">
        <v>16</v>
      </c>
      <c r="K27" s="100">
        <f>COS(RADIANS(P28))*COS(RADIANS(N32))</f>
        <v>0.7099003565167006</v>
      </c>
      <c r="L27" s="2"/>
      <c r="M27" s="13" t="s">
        <v>18</v>
      </c>
      <c r="N27" s="15">
        <f>C30+D30/60</f>
        <v>319.095</v>
      </c>
      <c r="O27" s="85" t="s">
        <v>27</v>
      </c>
      <c r="P27" s="86">
        <f>C33+D33/60</f>
        <v>0</v>
      </c>
    </row>
    <row r="28" spans="1:16" ht="14.25" thickTop="1">
      <c r="A28" s="10" t="s">
        <v>21</v>
      </c>
      <c r="B28" s="16" t="s">
        <v>37</v>
      </c>
      <c r="C28" s="18">
        <v>5</v>
      </c>
      <c r="D28" s="19">
        <v>46.5</v>
      </c>
      <c r="E28" s="20" t="s">
        <v>51</v>
      </c>
      <c r="F28" s="10" t="s">
        <v>41</v>
      </c>
      <c r="G28" s="11" t="s">
        <v>6</v>
      </c>
      <c r="H28" s="12">
        <f>0.28*C25/(C26+273)</f>
        <v>0.9536633663366337</v>
      </c>
      <c r="I28" s="2"/>
      <c r="J28" s="17" t="s">
        <v>17</v>
      </c>
      <c r="K28" s="100">
        <f>IF(E28="N",DEGREES(ASIN(K26*SIN(RADIANS(C28+D28/60))+K27*COS(RADIANS(C28+D28/60)))),DEGREES(ASIN(K26*SIN(RADIANS(-C28-D28/60))+K27*COS(RADIANS(-C28-D28/60)))))</f>
        <v>42.950799491543506</v>
      </c>
      <c r="L28" s="2"/>
      <c r="M28" s="16" t="s">
        <v>59</v>
      </c>
      <c r="N28" s="15">
        <f>C31+D31/60</f>
        <v>0</v>
      </c>
      <c r="O28" s="87" t="s">
        <v>64</v>
      </c>
      <c r="P28" s="84">
        <f>IF(E32="N",P26+P27,-P26-P27)</f>
        <v>-14.343333333333334</v>
      </c>
    </row>
    <row r="29" spans="1:16" ht="13.5">
      <c r="A29" s="10" t="s">
        <v>22</v>
      </c>
      <c r="B29" s="16" t="s">
        <v>36</v>
      </c>
      <c r="C29" s="18">
        <v>83</v>
      </c>
      <c r="D29" s="19">
        <v>47.3</v>
      </c>
      <c r="E29" s="19" t="s">
        <v>72</v>
      </c>
      <c r="F29" s="10" t="s">
        <v>40</v>
      </c>
      <c r="G29" s="11" t="s">
        <v>44</v>
      </c>
      <c r="H29" s="12">
        <f>H28*H27</f>
        <v>0.01710330211118635</v>
      </c>
      <c r="I29" s="2"/>
      <c r="J29" s="2"/>
      <c r="K29" s="101"/>
      <c r="L29" s="2"/>
      <c r="M29" s="13" t="s">
        <v>10</v>
      </c>
      <c r="N29" s="15">
        <f>N27+N28</f>
        <v>319.095</v>
      </c>
      <c r="O29" s="2"/>
      <c r="P29" s="2"/>
    </row>
    <row r="30" spans="1:16" ht="14.25" thickBot="1">
      <c r="A30" s="10" t="s">
        <v>10</v>
      </c>
      <c r="B30" s="13" t="s">
        <v>10</v>
      </c>
      <c r="C30" s="18">
        <v>319</v>
      </c>
      <c r="D30" s="19">
        <v>5.7</v>
      </c>
      <c r="E30" s="102" t="s">
        <v>72</v>
      </c>
      <c r="F30" s="10" t="s">
        <v>38</v>
      </c>
      <c r="G30" s="11" t="s">
        <v>7</v>
      </c>
      <c r="H30" s="12">
        <v>0.0024</v>
      </c>
      <c r="I30" s="2"/>
      <c r="J30" s="17" t="s">
        <v>53</v>
      </c>
      <c r="K30" s="100">
        <f>IF(E28="N",(K26*COS(RADIANS(C28+D28/60))-K27*SIN(RADIANS(C28+D28/60)))/COS(RADIANS(K28)),(K26*COS(RADIANS(-C28-D28/60))-K27*SIN(RADIANS(-C28-D28/60)))/COS(RADIANS(K28)))</f>
        <v>-0.43433428642025274</v>
      </c>
      <c r="L30" s="2"/>
      <c r="M30" s="69" t="s">
        <v>13</v>
      </c>
      <c r="N30" s="86">
        <f>IF(E29="E",C29+D29/60,-(C29+D29/60))</f>
        <v>83.78833333333333</v>
      </c>
      <c r="O30" s="2"/>
      <c r="P30" s="2"/>
    </row>
    <row r="31" spans="1:16" ht="14.25" thickTop="1">
      <c r="A31" s="10" t="s">
        <v>12</v>
      </c>
      <c r="B31" s="16" t="s">
        <v>59</v>
      </c>
      <c r="C31" s="18"/>
      <c r="D31" s="19"/>
      <c r="E31" s="2"/>
      <c r="F31" s="10" t="s">
        <v>39</v>
      </c>
      <c r="G31" s="11" t="s">
        <v>8</v>
      </c>
      <c r="H31" s="12">
        <f>H30*COS(RADIANS(H26))</f>
        <v>0.0017608360112593494</v>
      </c>
      <c r="I31" s="2"/>
      <c r="J31" s="17" t="s">
        <v>54</v>
      </c>
      <c r="K31" s="100">
        <f>DEGREES(ACOS(K30))</f>
        <v>115.74294105409959</v>
      </c>
      <c r="L31" s="2"/>
      <c r="M31" s="66" t="s">
        <v>50</v>
      </c>
      <c r="N31" s="84">
        <f>N29+N30</f>
        <v>402.8833333333333</v>
      </c>
      <c r="O31" s="2"/>
      <c r="P31" s="2"/>
    </row>
    <row r="32" spans="1:16" ht="14.25" thickBot="1">
      <c r="A32" s="10" t="s">
        <v>20</v>
      </c>
      <c r="B32" s="16" t="s">
        <v>26</v>
      </c>
      <c r="C32" s="18">
        <v>14</v>
      </c>
      <c r="D32" s="19">
        <v>20.6</v>
      </c>
      <c r="E32" s="19" t="s">
        <v>82</v>
      </c>
      <c r="F32" s="63" t="s">
        <v>46</v>
      </c>
      <c r="G32" s="64" t="s">
        <v>4</v>
      </c>
      <c r="H32" s="83">
        <f>C34/60</f>
        <v>0.26833333333333337</v>
      </c>
      <c r="I32" s="2"/>
      <c r="J32" s="17" t="s">
        <v>55</v>
      </c>
      <c r="K32" s="100">
        <f>IF(N32&gt;180,K31,360-K31)</f>
        <v>115.74294105409959</v>
      </c>
      <c r="L32" s="2"/>
      <c r="M32" s="13" t="s">
        <v>19</v>
      </c>
      <c r="N32" s="15">
        <f>IF(N31&lt;0,360+N31,N31)</f>
        <v>402.8833333333333</v>
      </c>
      <c r="O32" s="2"/>
      <c r="P32" s="2"/>
    </row>
    <row r="33" spans="1:12" ht="14.25" thickTop="1">
      <c r="A33" s="10" t="s">
        <v>14</v>
      </c>
      <c r="B33" s="16" t="s">
        <v>27</v>
      </c>
      <c r="C33" s="18"/>
      <c r="D33" s="19"/>
      <c r="E33" s="2"/>
      <c r="F33" s="60" t="s">
        <v>45</v>
      </c>
      <c r="G33" s="61" t="s">
        <v>9</v>
      </c>
      <c r="H33" s="82">
        <f>IF(E35="L",H26-H29+H31+H32,H26-H29+H31-H32)</f>
        <v>43.057054732704536</v>
      </c>
      <c r="I33" s="2"/>
      <c r="J33" s="2"/>
      <c r="K33" s="2">
        <f>IF(N32&gt;360,-(N32-360),N32)</f>
        <v>-42.883333333333326</v>
      </c>
      <c r="L33" s="2"/>
    </row>
    <row r="34" spans="1:12" ht="13.5">
      <c r="A34" s="56" t="s">
        <v>46</v>
      </c>
      <c r="B34" s="57" t="s">
        <v>4</v>
      </c>
      <c r="C34" s="58">
        <v>16.1</v>
      </c>
      <c r="E34" s="2"/>
      <c r="F34" s="2"/>
      <c r="G34" s="2"/>
      <c r="H34" s="2"/>
      <c r="J34" s="2">
        <f>K34+K35</f>
        <v>0</v>
      </c>
      <c r="K34" s="2">
        <f>IF(K33&gt;0,1,-1)</f>
        <v>-1</v>
      </c>
      <c r="L34" s="2" t="s">
        <v>73</v>
      </c>
    </row>
    <row r="35" spans="1:12" ht="13.5">
      <c r="A35" s="10" t="s">
        <v>24</v>
      </c>
      <c r="B35" s="13" t="s">
        <v>0</v>
      </c>
      <c r="C35" s="18">
        <v>42</v>
      </c>
      <c r="D35" s="19">
        <v>57.9</v>
      </c>
      <c r="E35" s="19" t="s">
        <v>68</v>
      </c>
      <c r="F35" s="2"/>
      <c r="G35" s="2"/>
      <c r="H35" s="2"/>
      <c r="J35" s="99">
        <f>IF(J34=0,360-K32,J34)</f>
        <v>244.2570589459004</v>
      </c>
      <c r="K35" s="2">
        <f>E32^#REF!IF(1.809012117101385E-308,-0.5,1)</f>
        <v>1</v>
      </c>
      <c r="L35" s="2" t="s">
        <v>74</v>
      </c>
    </row>
    <row r="36" spans="1:12" ht="13.5">
      <c r="A36" s="10" t="s">
        <v>25</v>
      </c>
      <c r="B36" s="13" t="s">
        <v>1</v>
      </c>
      <c r="C36" s="104">
        <v>0</v>
      </c>
      <c r="D36" s="30">
        <v>-1.6</v>
      </c>
      <c r="E36" s="2"/>
      <c r="F36" s="2"/>
      <c r="G36" s="2"/>
      <c r="H36" s="2"/>
      <c r="J36" s="99">
        <f>IF(J34=2,K33,J34)</f>
        <v>0</v>
      </c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J37" s="99">
        <f>IF(J34=0.5,180-K34,J34)</f>
        <v>0</v>
      </c>
      <c r="K37" s="2"/>
      <c r="L37" s="2"/>
    </row>
    <row r="38" spans="1:12" ht="18">
      <c r="A38" s="105" t="s">
        <v>56</v>
      </c>
      <c r="B38" s="106" t="s">
        <v>57</v>
      </c>
      <c r="C38" s="107">
        <f>(H33-K28)*60</f>
        <v>6.375314469661788</v>
      </c>
      <c r="D38" s="108" t="s">
        <v>60</v>
      </c>
      <c r="E38" s="9"/>
      <c r="J38" s="99">
        <f>IF(J34=-1.5,1800+K35,J34)</f>
        <v>0</v>
      </c>
      <c r="K38" s="9"/>
      <c r="L38" s="9"/>
    </row>
    <row r="39" spans="1:5" ht="18">
      <c r="A39" s="105" t="s">
        <v>58</v>
      </c>
      <c r="B39" s="106" t="s">
        <v>55</v>
      </c>
      <c r="C39" s="107">
        <f>K32</f>
        <v>115.74294105409959</v>
      </c>
      <c r="D39" s="108" t="s">
        <v>61</v>
      </c>
      <c r="E39" s="9"/>
    </row>
    <row r="42" spans="1:2" ht="12.75">
      <c r="A42" t="s">
        <v>77</v>
      </c>
      <c r="B42" t="s">
        <v>78</v>
      </c>
    </row>
    <row r="43" spans="2:8" ht="12.75">
      <c r="B43" t="s">
        <v>79</v>
      </c>
      <c r="H43" t="s">
        <v>80</v>
      </c>
    </row>
    <row r="45" spans="5:6" ht="12.75">
      <c r="E45" t="s">
        <v>81</v>
      </c>
      <c r="F45" t="s">
        <v>84</v>
      </c>
    </row>
  </sheetData>
  <printOptions/>
  <pageMargins left="0.75" right="0.75" top="1" bottom="1" header="0.5" footer="0.5"/>
  <pageSetup horizontalDpi="300" verticalDpi="300" orientation="portrait" scale="97" r:id="rId3"/>
  <colBreaks count="4" manualBreakCount="4">
    <brk id="8" max="65535" man="1"/>
    <brk id="18" max="65535" man="1"/>
    <brk id="28" max="65535" man="1"/>
    <brk id="3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workbookViewId="0" topLeftCell="B1">
      <selection activeCell="E12" sqref="E12"/>
    </sheetView>
  </sheetViews>
  <sheetFormatPr defaultColWidth="9.140625" defaultRowHeight="12.75"/>
  <cols>
    <col min="1" max="1" width="22.7109375" style="0" customWidth="1"/>
    <col min="2" max="2" width="6.28125" style="0" customWidth="1"/>
    <col min="3" max="3" width="10.140625" style="0" customWidth="1"/>
    <col min="4" max="4" width="7.8515625" style="0" customWidth="1"/>
    <col min="5" max="5" width="6.8515625" style="0" customWidth="1"/>
    <col min="6" max="6" width="9.57421875" style="0" customWidth="1"/>
    <col min="7" max="7" width="6.7109375" style="0" customWidth="1"/>
    <col min="9" max="9" width="3.00390625" style="0" customWidth="1"/>
    <col min="10" max="10" width="6.421875" style="0" customWidth="1"/>
    <col min="11" max="11" width="12.8515625" style="0" customWidth="1"/>
    <col min="12" max="12" width="30.140625" style="0" customWidth="1"/>
  </cols>
  <sheetData>
    <row r="1" spans="1:12" ht="30.75" customHeight="1">
      <c r="A1" s="4" t="s">
        <v>62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10" t="s">
        <v>11</v>
      </c>
      <c r="B2" s="13" t="s">
        <v>11</v>
      </c>
      <c r="C2" s="31">
        <v>0.4666666666666666</v>
      </c>
      <c r="D2" s="19" t="s">
        <v>71</v>
      </c>
      <c r="E2" s="2"/>
      <c r="F2" s="2"/>
      <c r="G2" s="2"/>
      <c r="H2" s="2"/>
      <c r="I2" s="2"/>
      <c r="J2" s="2"/>
      <c r="K2" s="2"/>
      <c r="L2" s="2"/>
    </row>
    <row r="3" spans="1:12" ht="13.5">
      <c r="A3" s="10" t="s">
        <v>35</v>
      </c>
      <c r="B3" s="13" t="s">
        <v>30</v>
      </c>
      <c r="C3" s="18">
        <v>5.4</v>
      </c>
      <c r="D3" s="25" t="s">
        <v>47</v>
      </c>
      <c r="E3" s="2"/>
      <c r="F3" s="2"/>
      <c r="G3" s="2"/>
      <c r="H3" s="2"/>
      <c r="I3" s="2"/>
      <c r="J3" s="2"/>
      <c r="K3" s="2"/>
      <c r="L3" s="2"/>
    </row>
    <row r="4" spans="1:12" ht="13.5">
      <c r="A4" s="10" t="s">
        <v>34</v>
      </c>
      <c r="B4" s="13" t="s">
        <v>31</v>
      </c>
      <c r="C4" s="18">
        <v>982</v>
      </c>
      <c r="D4" s="25" t="s">
        <v>48</v>
      </c>
      <c r="E4" s="2"/>
      <c r="F4" s="2"/>
      <c r="G4" s="2"/>
      <c r="H4" s="2"/>
      <c r="I4" s="2"/>
      <c r="J4" s="2"/>
      <c r="K4" s="2"/>
      <c r="L4" s="2"/>
    </row>
    <row r="5" spans="1:12" ht="13.5">
      <c r="A5" s="10" t="s">
        <v>33</v>
      </c>
      <c r="B5" s="13" t="s">
        <v>32</v>
      </c>
      <c r="C5" s="18">
        <v>-3</v>
      </c>
      <c r="D5" s="25" t="s">
        <v>49</v>
      </c>
      <c r="E5" s="2"/>
      <c r="F5" s="2"/>
      <c r="G5" s="2"/>
      <c r="H5" s="2"/>
      <c r="I5" s="2"/>
      <c r="J5" s="2"/>
      <c r="K5" s="2"/>
      <c r="L5" s="2"/>
    </row>
    <row r="6" spans="1:12" ht="13.5">
      <c r="A6" s="6"/>
      <c r="B6" s="7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9.75" customHeight="1">
      <c r="A7" s="6"/>
      <c r="B7" s="1"/>
      <c r="C7" s="8" t="s">
        <v>28</v>
      </c>
      <c r="D7" s="8" t="s">
        <v>23</v>
      </c>
      <c r="E7" s="8"/>
      <c r="F7" s="2"/>
      <c r="G7" s="2"/>
      <c r="H7" s="2"/>
      <c r="I7" s="2"/>
      <c r="J7" s="2"/>
      <c r="K7" s="2"/>
      <c r="L7" s="2"/>
    </row>
    <row r="8" spans="1:12" ht="13.5">
      <c r="A8" s="10" t="s">
        <v>21</v>
      </c>
      <c r="B8" s="16" t="s">
        <v>37</v>
      </c>
      <c r="C8" s="18">
        <v>40</v>
      </c>
      <c r="D8" s="19">
        <v>14.1</v>
      </c>
      <c r="E8" s="20" t="s">
        <v>51</v>
      </c>
      <c r="F8" s="2"/>
      <c r="G8" s="2"/>
      <c r="H8" s="2"/>
      <c r="I8" s="2"/>
      <c r="J8" s="2"/>
      <c r="K8" s="2"/>
      <c r="L8" s="2"/>
    </row>
    <row r="9" spans="1:12" ht="13.5">
      <c r="A9" s="10" t="s">
        <v>22</v>
      </c>
      <c r="B9" s="16" t="s">
        <v>36</v>
      </c>
      <c r="C9" s="89">
        <v>63</v>
      </c>
      <c r="D9" s="90">
        <v>36</v>
      </c>
      <c r="E9" s="90" t="s">
        <v>52</v>
      </c>
      <c r="F9" s="2"/>
      <c r="G9" s="2"/>
      <c r="H9" s="2"/>
      <c r="I9" s="2"/>
      <c r="J9" s="2"/>
      <c r="K9" s="2"/>
      <c r="L9" s="2"/>
    </row>
    <row r="10" spans="1:12" ht="13.5">
      <c r="A10" s="10" t="s">
        <v>10</v>
      </c>
      <c r="B10" s="13" t="s">
        <v>10</v>
      </c>
      <c r="C10" s="89">
        <v>346</v>
      </c>
      <c r="D10" s="90">
        <v>16.2</v>
      </c>
      <c r="E10" s="91"/>
      <c r="F10" s="2"/>
      <c r="G10" s="2"/>
      <c r="H10" s="2"/>
      <c r="I10" s="2"/>
      <c r="J10" s="2"/>
      <c r="K10" s="2"/>
      <c r="L10" s="2"/>
    </row>
    <row r="11" spans="1:12" ht="13.5">
      <c r="A11" s="10" t="s">
        <v>12</v>
      </c>
      <c r="B11" s="16" t="s">
        <v>59</v>
      </c>
      <c r="C11" s="89">
        <v>10</v>
      </c>
      <c r="D11" s="90">
        <v>56.4</v>
      </c>
      <c r="E11" s="91"/>
      <c r="F11" s="2"/>
      <c r="G11" s="2"/>
      <c r="H11" s="2"/>
      <c r="I11" s="2"/>
      <c r="J11" s="2"/>
      <c r="K11" s="2"/>
      <c r="L11" s="2"/>
    </row>
    <row r="12" spans="1:12" ht="13.5">
      <c r="A12" s="10" t="s">
        <v>20</v>
      </c>
      <c r="B12" s="16" t="s">
        <v>26</v>
      </c>
      <c r="C12" s="89">
        <v>2</v>
      </c>
      <c r="D12" s="90">
        <v>43.8</v>
      </c>
      <c r="E12" s="90" t="s">
        <v>51</v>
      </c>
      <c r="F12" s="2"/>
      <c r="G12" s="2"/>
      <c r="H12" s="2"/>
      <c r="I12" s="2"/>
      <c r="J12" s="2"/>
      <c r="K12" s="2"/>
      <c r="L12" s="2"/>
    </row>
    <row r="13" spans="1:26" ht="13.5">
      <c r="A13" s="10" t="s">
        <v>14</v>
      </c>
      <c r="B13" s="16" t="s">
        <v>27</v>
      </c>
      <c r="C13" s="89"/>
      <c r="D13" s="90">
        <v>12.7</v>
      </c>
      <c r="E13" s="91"/>
      <c r="F13" s="2"/>
      <c r="G13" s="2"/>
      <c r="H13" s="2"/>
      <c r="I13" s="2"/>
      <c r="J13" s="2"/>
      <c r="K13" s="2"/>
      <c r="L13" s="2"/>
      <c r="Z13" s="94"/>
    </row>
    <row r="14" spans="1:12" ht="13.5">
      <c r="A14" s="10" t="s">
        <v>69</v>
      </c>
      <c r="B14" s="16" t="s">
        <v>66</v>
      </c>
      <c r="C14" s="90"/>
      <c r="D14" s="90">
        <v>9.7</v>
      </c>
      <c r="E14" s="91"/>
      <c r="F14" s="2"/>
      <c r="G14" s="2"/>
      <c r="H14" s="2"/>
      <c r="I14" s="2"/>
      <c r="J14" s="2"/>
      <c r="K14" s="2"/>
      <c r="L14" s="2"/>
    </row>
    <row r="15" spans="1:12" ht="13.5">
      <c r="A15" s="10" t="s">
        <v>65</v>
      </c>
      <c r="B15" s="13" t="s">
        <v>7</v>
      </c>
      <c r="C15" s="92"/>
      <c r="D15" s="89">
        <v>55.9</v>
      </c>
      <c r="E15" s="91"/>
      <c r="F15" s="2"/>
      <c r="G15" s="2"/>
      <c r="H15" s="2"/>
      <c r="I15" s="2"/>
      <c r="J15" s="2"/>
      <c r="K15" s="2"/>
      <c r="L15" s="2"/>
    </row>
    <row r="16" spans="1:12" ht="13.5">
      <c r="A16" s="10" t="s">
        <v>24</v>
      </c>
      <c r="B16" s="13" t="s">
        <v>0</v>
      </c>
      <c r="C16" s="89">
        <v>26.1117</v>
      </c>
      <c r="D16" s="90"/>
      <c r="E16" s="90" t="s">
        <v>68</v>
      </c>
      <c r="F16" s="2"/>
      <c r="G16" s="2"/>
      <c r="H16" s="2"/>
      <c r="I16" s="2"/>
      <c r="J16" s="2"/>
      <c r="K16" s="2"/>
      <c r="L16" s="2"/>
    </row>
    <row r="17" spans="1:12" ht="13.5">
      <c r="A17" s="10" t="s">
        <v>25</v>
      </c>
      <c r="B17" s="13" t="s">
        <v>1</v>
      </c>
      <c r="C17" s="89"/>
      <c r="D17" s="93"/>
      <c r="E17" s="91"/>
      <c r="F17" s="2"/>
      <c r="G17" s="2"/>
      <c r="H17" s="2"/>
      <c r="I17" s="2"/>
      <c r="J17" s="2"/>
      <c r="K17" s="2"/>
      <c r="L17" s="2"/>
    </row>
    <row r="18" spans="5:12" ht="12.75"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1" ht="13.5">
      <c r="A21" s="10" t="s">
        <v>24</v>
      </c>
      <c r="B21" s="11" t="s">
        <v>0</v>
      </c>
      <c r="C21" s="12">
        <f>C16+D16/60</f>
        <v>26.1117</v>
      </c>
      <c r="D21" s="2"/>
      <c r="E21" s="13" t="s">
        <v>11</v>
      </c>
      <c r="F21" s="59">
        <f>C2</f>
        <v>0.4666666666666666</v>
      </c>
      <c r="G21" s="16" t="s">
        <v>63</v>
      </c>
      <c r="H21" s="26">
        <f>C12+D12/60</f>
        <v>2.73</v>
      </c>
      <c r="I21" s="28"/>
      <c r="J21" s="27" t="s">
        <v>15</v>
      </c>
      <c r="K21" s="12">
        <f>SIN(RADIANS(H23))</f>
        <v>0.05131921584659505</v>
      </c>
    </row>
    <row r="22" spans="1:11" ht="14.25" thickBot="1">
      <c r="A22" s="10" t="s">
        <v>25</v>
      </c>
      <c r="B22" s="11" t="s">
        <v>1</v>
      </c>
      <c r="C22" s="12">
        <f>C17+D17/60</f>
        <v>0</v>
      </c>
      <c r="D22" s="2"/>
      <c r="E22" s="13" t="s">
        <v>18</v>
      </c>
      <c r="F22" s="15">
        <f>C10+D10/60</f>
        <v>346.27</v>
      </c>
      <c r="G22" s="85" t="s">
        <v>27</v>
      </c>
      <c r="H22" s="86">
        <f>C13+D13/60</f>
        <v>0.21166666666666664</v>
      </c>
      <c r="I22" s="28"/>
      <c r="J22" s="27" t="s">
        <v>16</v>
      </c>
      <c r="K22" s="12">
        <f>COS(RADIANS(H23))*COS(RADIANS(F28))</f>
        <v>0.4025616353490293</v>
      </c>
    </row>
    <row r="23" spans="1:11" ht="15" thickBot="1" thickTop="1">
      <c r="A23" s="63" t="s">
        <v>29</v>
      </c>
      <c r="B23" s="64" t="s">
        <v>2</v>
      </c>
      <c r="C23" s="83">
        <f>0.0293*SQRT(C3)</f>
        <v>0.06808704722632639</v>
      </c>
      <c r="D23" s="2"/>
      <c r="E23" s="16" t="s">
        <v>59</v>
      </c>
      <c r="F23" s="15">
        <f>C11+D11/60</f>
        <v>10.94</v>
      </c>
      <c r="G23" s="87" t="s">
        <v>64</v>
      </c>
      <c r="H23" s="88">
        <f>IF(E12="N",H21+H22,-H21-H22)</f>
        <v>2.9416666666666664</v>
      </c>
      <c r="I23" s="28"/>
      <c r="J23" s="27" t="s">
        <v>17</v>
      </c>
      <c r="K23" s="12">
        <f>IF(E8="N",DEGREES(ASIN(K21*SIN(RADIANS(C8+D8/60))+K22*COS(RADIANS(C8+D8/60)))),DEGREES(ASIN(K21*SIN(RADIANS(-C8-D8/60))+K22*COS(RADIANS(-C8-D8/60)))))</f>
        <v>19.905177442131613</v>
      </c>
    </row>
    <row r="24" spans="1:11" ht="15" thickBot="1" thickTop="1">
      <c r="A24" s="60" t="s">
        <v>43</v>
      </c>
      <c r="B24" s="61" t="s">
        <v>3</v>
      </c>
      <c r="C24" s="82">
        <f>C21+C22-C23</f>
        <v>26.04361295277367</v>
      </c>
      <c r="D24" s="2"/>
      <c r="E24" s="85" t="s">
        <v>66</v>
      </c>
      <c r="F24" s="86">
        <f>C14+D14/60</f>
        <v>0.16166666666666665</v>
      </c>
      <c r="G24" s="2"/>
      <c r="H24" s="2"/>
      <c r="I24" s="2"/>
      <c r="J24" s="2"/>
      <c r="K24" s="3"/>
    </row>
    <row r="25" spans="1:11" ht="14.25" thickTop="1">
      <c r="A25" s="10" t="s">
        <v>42</v>
      </c>
      <c r="B25" s="11" t="s">
        <v>5</v>
      </c>
      <c r="C25" s="12">
        <f>0.0167/TAN(RADIANS(C24+7.31/(C24+4.4)))</f>
        <v>0.033814054192121364</v>
      </c>
      <c r="D25" s="2"/>
      <c r="E25" s="66" t="s">
        <v>10</v>
      </c>
      <c r="F25" s="84">
        <f>F22+F23+F24</f>
        <v>357.37166666666667</v>
      </c>
      <c r="G25" s="2"/>
      <c r="H25" s="2"/>
      <c r="I25" s="2"/>
      <c r="J25" s="17" t="s">
        <v>53</v>
      </c>
      <c r="K25" s="12">
        <f>IF(E8="N",(K21*COS(RADIANS(C8+D8/60))-K22*SIN(RADIANS(C8+D8/60)))/COS(RADIANS(K23)),(K21*COS(RADIANS(-C8-D8/60))-K22*SIN(RADIANS(-C8-D8/60)))/COS(RADIANS(K23)))</f>
        <v>-0.2348794238043632</v>
      </c>
    </row>
    <row r="26" spans="1:11" ht="14.25" thickBot="1">
      <c r="A26" s="10" t="s">
        <v>41</v>
      </c>
      <c r="B26" s="11" t="s">
        <v>6</v>
      </c>
      <c r="C26" s="12">
        <f>0.28*C4/(C5+273)</f>
        <v>1.0183703703703706</v>
      </c>
      <c r="D26" s="2"/>
      <c r="E26" s="69" t="s">
        <v>13</v>
      </c>
      <c r="F26" s="86">
        <f>IF(E9="E",C9+D9/60,-(C9+D9/60))</f>
        <v>-63.6</v>
      </c>
      <c r="G26" s="2"/>
      <c r="H26" s="2"/>
      <c r="I26" s="2"/>
      <c r="J26" s="17" t="s">
        <v>54</v>
      </c>
      <c r="K26" s="12">
        <f>DEGREES(ACOS(K25))</f>
        <v>103.58451532904401</v>
      </c>
    </row>
    <row r="27" spans="1:11" ht="14.25" thickTop="1">
      <c r="A27" s="10" t="s">
        <v>40</v>
      </c>
      <c r="B27" s="11" t="s">
        <v>44</v>
      </c>
      <c r="C27" s="12">
        <f>C26*C25</f>
        <v>0.03443523089135442</v>
      </c>
      <c r="D27" s="2"/>
      <c r="E27" s="66" t="s">
        <v>50</v>
      </c>
      <c r="F27" s="84">
        <f>F25+F26</f>
        <v>293.77166666666665</v>
      </c>
      <c r="G27" s="2"/>
      <c r="H27" s="2"/>
      <c r="I27" s="2"/>
      <c r="J27" s="17" t="s">
        <v>55</v>
      </c>
      <c r="K27" s="12">
        <f>IF(F28&gt;180,K26,360-K26)</f>
        <v>103.58451532904401</v>
      </c>
    </row>
    <row r="28" spans="1:12" ht="13.5">
      <c r="A28" s="10" t="s">
        <v>38</v>
      </c>
      <c r="B28" s="11" t="s">
        <v>7</v>
      </c>
      <c r="C28" s="12">
        <f>C15+D15/60</f>
        <v>0.9316666666666666</v>
      </c>
      <c r="D28" s="2"/>
      <c r="E28" s="13" t="s">
        <v>19</v>
      </c>
      <c r="F28" s="15">
        <f>IF(F27&lt;0,360+F27,F27)</f>
        <v>293.77166666666665</v>
      </c>
      <c r="G28" s="2"/>
      <c r="H28" s="2"/>
      <c r="I28" s="2"/>
      <c r="J28" s="2"/>
      <c r="K28" s="2"/>
      <c r="L28" s="2"/>
    </row>
    <row r="29" spans="1:12" ht="13.5">
      <c r="A29" s="49" t="s">
        <v>39</v>
      </c>
      <c r="B29" s="50" t="s">
        <v>8</v>
      </c>
      <c r="C29" s="51">
        <f>COS(RADIANS(C24))*(C28-0.000017)</f>
        <v>0.8370500548944446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4.25" thickBot="1">
      <c r="A30" s="63" t="s">
        <v>46</v>
      </c>
      <c r="B30" s="64" t="s">
        <v>4</v>
      </c>
      <c r="C30" s="83">
        <f>0.2724*C28</f>
        <v>0.25378599999999996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4.25" thickTop="1">
      <c r="A31" s="60" t="s">
        <v>45</v>
      </c>
      <c r="B31" s="61" t="s">
        <v>9</v>
      </c>
      <c r="C31" s="82">
        <f>IF(E16="L",C24-C27+C29+C30,C24-C27+C29-C30)</f>
        <v>27.100013776776763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8">
      <c r="A33" s="95" t="s">
        <v>56</v>
      </c>
      <c r="B33" s="96" t="s">
        <v>57</v>
      </c>
      <c r="C33" s="97">
        <f>(C31-K23)*60</f>
        <v>431.690180078709</v>
      </c>
      <c r="D33" s="24" t="s">
        <v>60</v>
      </c>
      <c r="E33" s="9"/>
      <c r="F33" s="9"/>
      <c r="G33" s="9"/>
      <c r="H33" s="9"/>
      <c r="I33" s="9"/>
      <c r="J33" s="9"/>
      <c r="K33" s="9"/>
      <c r="L33" s="9"/>
    </row>
    <row r="34" spans="1:12" ht="18">
      <c r="A34" s="95" t="s">
        <v>58</v>
      </c>
      <c r="B34" s="96" t="s">
        <v>55</v>
      </c>
      <c r="C34" s="97">
        <f>K27</f>
        <v>103.58451532904401</v>
      </c>
      <c r="D34" s="24" t="s">
        <v>61</v>
      </c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printOptions/>
  <pageMargins left="0.5" right="0.25" top="0.5" bottom="0.5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showGridLines="0" workbookViewId="0" topLeftCell="A1">
      <selection activeCell="F5" sqref="F5"/>
    </sheetView>
  </sheetViews>
  <sheetFormatPr defaultColWidth="9.140625" defaultRowHeight="12.75"/>
  <cols>
    <col min="1" max="1" width="22.7109375" style="0" customWidth="1"/>
    <col min="2" max="2" width="6.28125" style="0" customWidth="1"/>
    <col min="3" max="3" width="10.140625" style="0" customWidth="1"/>
    <col min="4" max="4" width="8.421875" style="0" customWidth="1"/>
    <col min="5" max="5" width="6.8515625" style="0" customWidth="1"/>
    <col min="6" max="6" width="9.57421875" style="0" customWidth="1"/>
    <col min="7" max="7" width="6.7109375" style="0" customWidth="1"/>
    <col min="9" max="9" width="3.00390625" style="0" customWidth="1"/>
    <col min="10" max="10" width="6.421875" style="0" customWidth="1"/>
    <col min="11" max="11" width="12.8515625" style="0" customWidth="1"/>
    <col min="12" max="12" width="30.140625" style="0" customWidth="1"/>
  </cols>
  <sheetData>
    <row r="1" spans="1:12" ht="30.75" customHeight="1">
      <c r="A1" s="4" t="s">
        <v>62</v>
      </c>
      <c r="B1" s="1"/>
      <c r="C1" s="5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10" t="s">
        <v>11</v>
      </c>
      <c r="B2" s="13" t="s">
        <v>11</v>
      </c>
      <c r="C2" s="31">
        <v>0.375</v>
      </c>
      <c r="D2" s="19" t="s">
        <v>71</v>
      </c>
      <c r="E2" s="2"/>
      <c r="F2" s="2"/>
      <c r="G2" s="2"/>
      <c r="H2" s="2"/>
      <c r="I2" s="2"/>
      <c r="J2" s="2"/>
      <c r="K2" s="2"/>
      <c r="L2" s="2"/>
    </row>
    <row r="3" spans="1:12" ht="13.5">
      <c r="A3" s="10" t="s">
        <v>35</v>
      </c>
      <c r="B3" s="13" t="s">
        <v>30</v>
      </c>
      <c r="C3" s="18">
        <v>5.4</v>
      </c>
      <c r="D3" s="25" t="s">
        <v>47</v>
      </c>
      <c r="E3" s="2"/>
      <c r="F3" s="2"/>
      <c r="G3" s="2"/>
      <c r="H3" s="2"/>
      <c r="I3" s="2"/>
      <c r="J3" s="2"/>
      <c r="K3" s="2"/>
      <c r="L3" s="2"/>
    </row>
    <row r="4" spans="1:12" ht="13.5">
      <c r="A4" s="10" t="s">
        <v>34</v>
      </c>
      <c r="B4" s="13" t="s">
        <v>31</v>
      </c>
      <c r="C4" s="18">
        <v>982</v>
      </c>
      <c r="D4" s="25" t="s">
        <v>48</v>
      </c>
      <c r="E4" s="2"/>
      <c r="F4" s="2"/>
      <c r="G4" s="2"/>
      <c r="H4" s="2"/>
      <c r="I4" s="2"/>
      <c r="J4" s="2"/>
      <c r="K4" s="2"/>
      <c r="L4" s="2"/>
    </row>
    <row r="5" spans="1:12" ht="13.5">
      <c r="A5" s="10" t="s">
        <v>33</v>
      </c>
      <c r="B5" s="13" t="s">
        <v>32</v>
      </c>
      <c r="C5" s="18">
        <v>-3</v>
      </c>
      <c r="D5" s="25" t="s">
        <v>49</v>
      </c>
      <c r="E5" s="2"/>
      <c r="F5" s="2"/>
      <c r="G5" s="2"/>
      <c r="H5" s="2"/>
      <c r="I5" s="2"/>
      <c r="J5" s="2"/>
      <c r="K5" s="2"/>
      <c r="L5" s="2"/>
    </row>
    <row r="6" spans="1:12" ht="13.5">
      <c r="A6" s="6"/>
      <c r="B6" s="7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9.75" customHeight="1">
      <c r="A7" s="6"/>
      <c r="B7" s="1"/>
      <c r="C7" s="8" t="s">
        <v>28</v>
      </c>
      <c r="D7" s="8" t="s">
        <v>23</v>
      </c>
      <c r="E7" s="8"/>
      <c r="F7" s="2"/>
      <c r="G7" s="2"/>
      <c r="H7" s="2"/>
      <c r="I7" s="2"/>
      <c r="J7" s="2"/>
      <c r="K7" s="2"/>
      <c r="L7" s="2"/>
    </row>
    <row r="8" spans="1:12" ht="13.5">
      <c r="A8" s="10" t="s">
        <v>21</v>
      </c>
      <c r="B8" s="16" t="s">
        <v>37</v>
      </c>
      <c r="C8" s="18">
        <v>40</v>
      </c>
      <c r="D8" s="19">
        <v>14.1</v>
      </c>
      <c r="E8" s="20" t="s">
        <v>51</v>
      </c>
      <c r="F8" s="2"/>
      <c r="G8" s="2"/>
      <c r="H8" s="2"/>
      <c r="I8" s="2"/>
      <c r="J8" s="2"/>
      <c r="K8" s="2"/>
      <c r="L8" s="2"/>
    </row>
    <row r="9" spans="1:12" ht="13.5">
      <c r="A9" s="10" t="s">
        <v>22</v>
      </c>
      <c r="B9" s="16" t="s">
        <v>36</v>
      </c>
      <c r="C9" s="18">
        <v>63</v>
      </c>
      <c r="D9" s="19">
        <v>36</v>
      </c>
      <c r="E9" s="19" t="s">
        <v>52</v>
      </c>
      <c r="F9" s="2"/>
      <c r="G9" s="2"/>
      <c r="H9" s="2"/>
      <c r="I9" s="2"/>
      <c r="J9" s="2"/>
      <c r="K9" s="2"/>
      <c r="L9" s="2"/>
    </row>
    <row r="10" spans="1:12" ht="13.5">
      <c r="A10" s="10" t="s">
        <v>10</v>
      </c>
      <c r="B10" s="13" t="s">
        <v>10</v>
      </c>
      <c r="C10" s="18">
        <v>346</v>
      </c>
      <c r="D10" s="19">
        <v>16.2</v>
      </c>
      <c r="E10" s="2"/>
      <c r="F10" s="2"/>
      <c r="G10" s="2"/>
      <c r="H10" s="2"/>
      <c r="I10" s="2"/>
      <c r="J10" s="2"/>
      <c r="K10" s="2"/>
      <c r="L10" s="2"/>
    </row>
    <row r="11" spans="1:12" ht="13.5">
      <c r="A11" s="10" t="s">
        <v>12</v>
      </c>
      <c r="B11" s="16" t="s">
        <v>59</v>
      </c>
      <c r="C11" s="18">
        <v>10</v>
      </c>
      <c r="D11" s="19">
        <v>56.4</v>
      </c>
      <c r="E11" s="2"/>
      <c r="F11" s="2"/>
      <c r="G11" s="2"/>
      <c r="H11" s="2"/>
      <c r="I11" s="2"/>
      <c r="J11" s="2"/>
      <c r="K11" s="2"/>
      <c r="L11" s="2"/>
    </row>
    <row r="12" spans="1:12" ht="13.5">
      <c r="A12" s="10" t="s">
        <v>20</v>
      </c>
      <c r="B12" s="16" t="s">
        <v>26</v>
      </c>
      <c r="C12" s="18">
        <v>2</v>
      </c>
      <c r="D12" s="19">
        <v>43.8</v>
      </c>
      <c r="E12" s="19" t="s">
        <v>51</v>
      </c>
      <c r="F12" s="2"/>
      <c r="G12" s="2"/>
      <c r="H12" s="2"/>
      <c r="I12" s="2"/>
      <c r="J12" s="2"/>
      <c r="K12" s="2"/>
      <c r="L12" s="2"/>
    </row>
    <row r="13" spans="1:12" ht="13.5">
      <c r="A13" s="10" t="s">
        <v>14</v>
      </c>
      <c r="B13" s="16" t="s">
        <v>27</v>
      </c>
      <c r="C13" s="18"/>
      <c r="D13" s="19">
        <v>12.7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10" t="s">
        <v>69</v>
      </c>
      <c r="B14" s="16" t="s">
        <v>66</v>
      </c>
      <c r="C14" s="19"/>
      <c r="D14" s="19">
        <v>9.7</v>
      </c>
      <c r="E14" s="2"/>
      <c r="F14" s="2"/>
      <c r="G14" s="2"/>
      <c r="H14" s="2"/>
      <c r="I14" s="2"/>
      <c r="J14" s="2"/>
      <c r="K14" s="2"/>
      <c r="L14" s="2"/>
    </row>
    <row r="15" spans="1:12" ht="13.5">
      <c r="A15" s="10" t="s">
        <v>65</v>
      </c>
      <c r="B15" s="13" t="s">
        <v>7</v>
      </c>
      <c r="C15" s="29"/>
      <c r="D15" s="18">
        <v>0.2</v>
      </c>
      <c r="E15" s="2"/>
      <c r="F15" s="2"/>
      <c r="G15" s="2"/>
      <c r="H15" s="2"/>
      <c r="I15" s="2"/>
      <c r="J15" s="2"/>
      <c r="K15" s="2"/>
      <c r="L15" s="2"/>
    </row>
    <row r="16" spans="1:12" ht="13.5">
      <c r="A16" s="10" t="s">
        <v>24</v>
      </c>
      <c r="B16" s="13" t="s">
        <v>0</v>
      </c>
      <c r="C16" s="18">
        <v>4.5433</v>
      </c>
      <c r="D16" s="19"/>
      <c r="E16" s="2"/>
      <c r="F16" s="2"/>
      <c r="G16" s="2"/>
      <c r="H16" s="2"/>
      <c r="I16" s="2"/>
      <c r="J16" s="2"/>
      <c r="K16" s="2"/>
      <c r="L16" s="2"/>
    </row>
    <row r="17" spans="1:12" ht="13.5">
      <c r="A17" s="10" t="s">
        <v>25</v>
      </c>
      <c r="B17" s="13" t="s">
        <v>1</v>
      </c>
      <c r="C17" s="18"/>
      <c r="D17" s="32"/>
      <c r="E17" s="2"/>
      <c r="F17" s="2"/>
      <c r="G17" s="2"/>
      <c r="H17" s="2"/>
      <c r="I17" s="2"/>
      <c r="J17" s="2"/>
      <c r="K17" s="2"/>
      <c r="L17" s="2"/>
    </row>
    <row r="18" spans="5:12" ht="12.75"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1" ht="13.5">
      <c r="A21" s="10" t="s">
        <v>24</v>
      </c>
      <c r="B21" s="11" t="s">
        <v>0</v>
      </c>
      <c r="C21" s="12">
        <f>C16+D16/60</f>
        <v>4.5433</v>
      </c>
      <c r="D21" s="2"/>
      <c r="E21" s="13" t="s">
        <v>11</v>
      </c>
      <c r="F21" s="14">
        <f>C2</f>
        <v>0.375</v>
      </c>
      <c r="G21" s="16" t="s">
        <v>63</v>
      </c>
      <c r="H21" s="26">
        <f>C12+D12/60</f>
        <v>2.73</v>
      </c>
      <c r="I21" s="28"/>
      <c r="J21" s="27" t="s">
        <v>15</v>
      </c>
      <c r="K21" s="12">
        <f>SIN(RADIANS(H23))</f>
        <v>0.05131921584659505</v>
      </c>
    </row>
    <row r="22" spans="1:11" ht="14.25" thickBot="1">
      <c r="A22" s="10" t="s">
        <v>25</v>
      </c>
      <c r="B22" s="11" t="s">
        <v>1</v>
      </c>
      <c r="C22" s="12">
        <f>C17+D17/60</f>
        <v>0</v>
      </c>
      <c r="D22" s="2"/>
      <c r="E22" s="13" t="s">
        <v>18</v>
      </c>
      <c r="F22" s="15">
        <f>C10+D10/60</f>
        <v>346.27</v>
      </c>
      <c r="G22" s="85" t="s">
        <v>27</v>
      </c>
      <c r="H22" s="86">
        <f>C13+D13/60</f>
        <v>0.21166666666666664</v>
      </c>
      <c r="I22" s="28"/>
      <c r="J22" s="27" t="s">
        <v>16</v>
      </c>
      <c r="K22" s="12">
        <f>COS(RADIANS(H23))*COS(RADIANS(F28))</f>
        <v>0.4025616353490293</v>
      </c>
    </row>
    <row r="23" spans="1:11" ht="15" thickBot="1" thickTop="1">
      <c r="A23" s="63" t="s">
        <v>29</v>
      </c>
      <c r="B23" s="64" t="s">
        <v>2</v>
      </c>
      <c r="C23" s="83">
        <f>0.0293*SQRT(C3)</f>
        <v>0.06808704722632639</v>
      </c>
      <c r="D23" s="2"/>
      <c r="E23" s="16" t="s">
        <v>59</v>
      </c>
      <c r="F23" s="15">
        <f>C11+D11/60</f>
        <v>10.94</v>
      </c>
      <c r="G23" s="87" t="s">
        <v>64</v>
      </c>
      <c r="H23" s="88">
        <f>IF(E12="N",H21+H22,-H21-H22)</f>
        <v>2.9416666666666664</v>
      </c>
      <c r="I23" s="28"/>
      <c r="J23" s="27" t="s">
        <v>17</v>
      </c>
      <c r="K23" s="12">
        <f>IF(E8="N",DEGREES(ASIN(K21*SIN(RADIANS(C8+D8/60))+K22*COS(RADIANS(C8+D8/60)))),DEGREES(ASIN(K21*SIN(RADIANS(-C8-D8/60))+K22*COS(RADIANS(-C8-D8/60)))))</f>
        <v>19.905177442131613</v>
      </c>
    </row>
    <row r="24" spans="1:11" ht="15" thickBot="1" thickTop="1">
      <c r="A24" s="60" t="s">
        <v>43</v>
      </c>
      <c r="B24" s="61" t="s">
        <v>3</v>
      </c>
      <c r="C24" s="82">
        <f>C21+C22-C23</f>
        <v>4.475212952773674</v>
      </c>
      <c r="D24" s="2"/>
      <c r="E24" s="85" t="s">
        <v>66</v>
      </c>
      <c r="F24" s="86">
        <f>C14+D14/60</f>
        <v>0.16166666666666665</v>
      </c>
      <c r="G24" s="2"/>
      <c r="H24" s="2"/>
      <c r="I24" s="2"/>
      <c r="J24" s="2"/>
      <c r="K24" s="3"/>
    </row>
    <row r="25" spans="1:11" ht="14.25" thickTop="1">
      <c r="A25" s="10" t="s">
        <v>42</v>
      </c>
      <c r="B25" s="11" t="s">
        <v>5</v>
      </c>
      <c r="C25" s="12">
        <f>0.0167/TAN(RADIANS(C24+7.31/(C24+4.4)))</f>
        <v>0.18005965067879737</v>
      </c>
      <c r="D25" s="2"/>
      <c r="E25" s="66" t="s">
        <v>10</v>
      </c>
      <c r="F25" s="84">
        <f>F22+F23+F24</f>
        <v>357.37166666666667</v>
      </c>
      <c r="G25" s="2"/>
      <c r="H25" s="2"/>
      <c r="I25" s="2"/>
      <c r="J25" s="17" t="s">
        <v>53</v>
      </c>
      <c r="K25" s="12">
        <f>IF(E8="N",(K21*COS(RADIANS(C8+D8/60))-K22*SIN(RADIANS(C8+D8/60)))/COS(RADIANS(K23)),(K21*COS(RADIANS(-C8-D8/60))-K22*SIN(RADIANS(-C8-D8/60)))/COS(RADIANS(K23)))</f>
        <v>-0.2348794238043632</v>
      </c>
    </row>
    <row r="26" spans="1:11" ht="14.25" thickBot="1">
      <c r="A26" s="10" t="s">
        <v>41</v>
      </c>
      <c r="B26" s="11" t="s">
        <v>6</v>
      </c>
      <c r="C26" s="12">
        <f>0.28*C4/(C5+273)</f>
        <v>1.0183703703703706</v>
      </c>
      <c r="D26" s="2"/>
      <c r="E26" s="69" t="s">
        <v>13</v>
      </c>
      <c r="F26" s="86">
        <f>IF(E9="E",C9+D9/60,-(C9+D9/60))</f>
        <v>-63.6</v>
      </c>
      <c r="G26" s="2"/>
      <c r="H26" s="2"/>
      <c r="I26" s="2"/>
      <c r="J26" s="17" t="s">
        <v>54</v>
      </c>
      <c r="K26" s="12">
        <f>DEGREES(ACOS(K25))</f>
        <v>103.58451532904401</v>
      </c>
    </row>
    <row r="27" spans="1:11" ht="14.25" thickTop="1">
      <c r="A27" s="10" t="s">
        <v>40</v>
      </c>
      <c r="B27" s="11" t="s">
        <v>44</v>
      </c>
      <c r="C27" s="12">
        <f>C26*C25</f>
        <v>0.18336741315052643</v>
      </c>
      <c r="D27" s="2"/>
      <c r="E27" s="66" t="s">
        <v>50</v>
      </c>
      <c r="F27" s="84">
        <f>F25+F26</f>
        <v>293.77166666666665</v>
      </c>
      <c r="G27" s="2"/>
      <c r="H27" s="2"/>
      <c r="I27" s="2"/>
      <c r="J27" s="17" t="s">
        <v>55</v>
      </c>
      <c r="K27" s="12">
        <f>IF(F28&gt;180,K26,360-K26)</f>
        <v>103.58451532904401</v>
      </c>
    </row>
    <row r="28" spans="1:12" ht="13.5">
      <c r="A28" s="10" t="s">
        <v>38</v>
      </c>
      <c r="B28" s="11" t="s">
        <v>7</v>
      </c>
      <c r="C28" s="12">
        <f>D15/60</f>
        <v>0.0033333333333333335</v>
      </c>
      <c r="D28" s="2"/>
      <c r="E28" s="13" t="s">
        <v>19</v>
      </c>
      <c r="F28" s="15">
        <f>IF(F27&lt;0,360+F27,F27)</f>
        <v>293.77166666666665</v>
      </c>
      <c r="G28" s="2"/>
      <c r="H28" s="2"/>
      <c r="I28" s="2"/>
      <c r="J28" s="2"/>
      <c r="K28" s="2"/>
      <c r="L28" s="2"/>
    </row>
    <row r="29" spans="1:12" ht="14.25" thickBot="1">
      <c r="A29" s="63" t="s">
        <v>39</v>
      </c>
      <c r="B29" s="64" t="s">
        <v>8</v>
      </c>
      <c r="C29" s="83">
        <f>COS(RADIANS(C24))*(C28)</f>
        <v>0.0033231706102336313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4.25" thickTop="1">
      <c r="A30" s="60" t="s">
        <v>45</v>
      </c>
      <c r="B30" s="61" t="s">
        <v>9</v>
      </c>
      <c r="C30" s="82">
        <f>C24-C27+C29</f>
        <v>4.295168710233381</v>
      </c>
      <c r="D30" s="2"/>
      <c r="E30" s="2"/>
      <c r="F30" s="2"/>
      <c r="G30" s="2"/>
      <c r="H30" s="2"/>
      <c r="I30" s="2"/>
      <c r="J30" s="2"/>
      <c r="K30" s="2"/>
      <c r="L30" s="2"/>
    </row>
    <row r="31" spans="4:12" ht="12.75"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8">
      <c r="A33" s="21" t="s">
        <v>56</v>
      </c>
      <c r="B33" s="22" t="s">
        <v>57</v>
      </c>
      <c r="C33" s="23">
        <f>(C30-K23)*60</f>
        <v>-936.600523913894</v>
      </c>
      <c r="D33" s="24" t="s">
        <v>60</v>
      </c>
      <c r="E33" s="9"/>
      <c r="F33" s="9"/>
      <c r="G33" s="9"/>
      <c r="H33" s="9"/>
      <c r="I33" s="9"/>
      <c r="J33" s="9"/>
      <c r="K33" s="9"/>
      <c r="L33" s="9"/>
    </row>
    <row r="34" spans="1:12" ht="18">
      <c r="A34" s="21" t="s">
        <v>58</v>
      </c>
      <c r="B34" s="22" t="s">
        <v>55</v>
      </c>
      <c r="C34" s="23">
        <f>K27</f>
        <v>103.58451532904401</v>
      </c>
      <c r="D34" s="24" t="s">
        <v>61</v>
      </c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="75" zoomScaleNormal="75" workbookViewId="0" topLeftCell="A1">
      <selection activeCell="E9" sqref="E9"/>
    </sheetView>
  </sheetViews>
  <sheetFormatPr defaultColWidth="9.140625" defaultRowHeight="12.75"/>
  <cols>
    <col min="1" max="1" width="22.7109375" style="0" customWidth="1"/>
    <col min="2" max="2" width="6.28125" style="0" customWidth="1"/>
    <col min="3" max="3" width="10.140625" style="0" customWidth="1"/>
    <col min="4" max="4" width="8.421875" style="0" customWidth="1"/>
    <col min="5" max="5" width="6.8515625" style="0" customWidth="1"/>
    <col min="6" max="6" width="9.57421875" style="0" customWidth="1"/>
    <col min="7" max="7" width="6.7109375" style="0" customWidth="1"/>
    <col min="9" max="9" width="3.00390625" style="0" customWidth="1"/>
    <col min="10" max="10" width="6.421875" style="0" customWidth="1"/>
    <col min="11" max="11" width="12.8515625" style="0" customWidth="1"/>
    <col min="12" max="12" width="30.140625" style="0" customWidth="1"/>
  </cols>
  <sheetData>
    <row r="1" spans="1:12" ht="30.75" customHeight="1">
      <c r="A1" s="4" t="s">
        <v>62</v>
      </c>
      <c r="B1" s="1"/>
      <c r="C1" s="33"/>
      <c r="D1" s="34"/>
      <c r="E1" s="34"/>
      <c r="F1" s="34"/>
      <c r="G1" s="34"/>
      <c r="H1" s="34"/>
      <c r="I1" s="34"/>
      <c r="J1" s="34"/>
      <c r="K1" s="34"/>
      <c r="L1" s="34"/>
    </row>
    <row r="2" spans="1:12" ht="13.5">
      <c r="A2" s="10" t="s">
        <v>11</v>
      </c>
      <c r="B2" s="13" t="s">
        <v>11</v>
      </c>
      <c r="C2" s="31">
        <v>0.375</v>
      </c>
      <c r="D2" s="19" t="s">
        <v>71</v>
      </c>
      <c r="E2" s="34"/>
      <c r="F2" s="34"/>
      <c r="G2" s="34"/>
      <c r="H2" s="34"/>
      <c r="I2" s="34"/>
      <c r="J2" s="34"/>
      <c r="K2" s="34"/>
      <c r="L2" s="34"/>
    </row>
    <row r="3" spans="1:12" ht="13.5">
      <c r="A3" s="10" t="s">
        <v>35</v>
      </c>
      <c r="B3" s="13" t="s">
        <v>30</v>
      </c>
      <c r="C3" s="35">
        <v>5.4</v>
      </c>
      <c r="D3" s="25" t="s">
        <v>47</v>
      </c>
      <c r="E3" s="34"/>
      <c r="F3" s="34"/>
      <c r="G3" s="34"/>
      <c r="H3" s="34"/>
      <c r="I3" s="34"/>
      <c r="J3" s="34"/>
      <c r="K3" s="34"/>
      <c r="L3" s="34"/>
    </row>
    <row r="4" spans="1:12" ht="13.5">
      <c r="A4" s="10" t="s">
        <v>34</v>
      </c>
      <c r="B4" s="13" t="s">
        <v>31</v>
      </c>
      <c r="C4" s="18">
        <v>982</v>
      </c>
      <c r="D4" s="25" t="s">
        <v>48</v>
      </c>
      <c r="E4" s="34"/>
      <c r="F4" s="34"/>
      <c r="G4" s="34"/>
      <c r="H4" s="34"/>
      <c r="I4" s="34"/>
      <c r="J4" s="34"/>
      <c r="K4" s="34"/>
      <c r="L4" s="34"/>
    </row>
    <row r="5" spans="1:12" ht="13.5">
      <c r="A5" s="10" t="s">
        <v>33</v>
      </c>
      <c r="B5" s="13" t="s">
        <v>32</v>
      </c>
      <c r="C5" s="35">
        <v>-3</v>
      </c>
      <c r="D5" s="25" t="s">
        <v>49</v>
      </c>
      <c r="E5" s="34"/>
      <c r="F5" s="34"/>
      <c r="G5" s="34"/>
      <c r="H5" s="34"/>
      <c r="I5" s="34"/>
      <c r="J5" s="34"/>
      <c r="K5" s="34"/>
      <c r="L5" s="34"/>
    </row>
    <row r="6" spans="1:12" ht="13.5">
      <c r="A6" s="6"/>
      <c r="B6" s="7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9.75" customHeight="1">
      <c r="A7" s="6"/>
      <c r="B7" s="1"/>
      <c r="C7" s="8" t="s">
        <v>28</v>
      </c>
      <c r="D7" s="8" t="s">
        <v>23</v>
      </c>
      <c r="E7" s="8"/>
      <c r="F7" s="34"/>
      <c r="G7" s="34"/>
      <c r="H7" s="34"/>
      <c r="I7" s="34"/>
      <c r="J7" s="34"/>
      <c r="K7" s="34"/>
      <c r="L7" s="34"/>
    </row>
    <row r="8" spans="1:12" ht="13.5">
      <c r="A8" s="10" t="s">
        <v>21</v>
      </c>
      <c r="B8" s="16" t="s">
        <v>37</v>
      </c>
      <c r="C8" s="35">
        <v>40</v>
      </c>
      <c r="D8" s="36">
        <v>14.1</v>
      </c>
      <c r="E8" s="37" t="s">
        <v>51</v>
      </c>
      <c r="F8" s="34"/>
      <c r="G8" s="34"/>
      <c r="H8" s="34"/>
      <c r="I8" s="34"/>
      <c r="J8" s="34"/>
      <c r="K8" s="34"/>
      <c r="L8" s="34"/>
    </row>
    <row r="9" spans="1:12" ht="13.5">
      <c r="A9" s="10" t="s">
        <v>22</v>
      </c>
      <c r="B9" s="16" t="s">
        <v>36</v>
      </c>
      <c r="C9" s="35">
        <v>63</v>
      </c>
      <c r="D9" s="36">
        <v>36</v>
      </c>
      <c r="E9" s="36" t="s">
        <v>52</v>
      </c>
      <c r="F9" s="34"/>
      <c r="G9" s="34"/>
      <c r="H9" s="34"/>
      <c r="I9" s="34"/>
      <c r="J9" s="34"/>
      <c r="K9" s="34"/>
      <c r="L9" s="34"/>
    </row>
    <row r="10" spans="1:12" ht="13.5">
      <c r="A10" s="10" t="s">
        <v>10</v>
      </c>
      <c r="B10" s="13" t="s">
        <v>10</v>
      </c>
      <c r="C10" s="35">
        <v>346</v>
      </c>
      <c r="D10" s="36">
        <v>16.2</v>
      </c>
      <c r="E10" s="34"/>
      <c r="F10" s="34"/>
      <c r="G10" s="34"/>
      <c r="H10" s="34"/>
      <c r="I10" s="34"/>
      <c r="J10" s="34"/>
      <c r="K10" s="34"/>
      <c r="L10" s="34"/>
    </row>
    <row r="11" spans="1:12" ht="13.5">
      <c r="A11" s="10" t="s">
        <v>12</v>
      </c>
      <c r="B11" s="16" t="s">
        <v>59</v>
      </c>
      <c r="C11" s="35">
        <v>10</v>
      </c>
      <c r="D11" s="36">
        <v>56.4</v>
      </c>
      <c r="E11" s="34"/>
      <c r="F11" s="34"/>
      <c r="G11" s="34"/>
      <c r="H11" s="34"/>
      <c r="I11" s="34"/>
      <c r="J11" s="34"/>
      <c r="K11" s="34"/>
      <c r="L11" s="34"/>
    </row>
    <row r="12" spans="1:12" ht="13.5">
      <c r="A12" s="10" t="s">
        <v>20</v>
      </c>
      <c r="B12" s="16" t="s">
        <v>26</v>
      </c>
      <c r="C12" s="35">
        <v>2</v>
      </c>
      <c r="D12" s="36">
        <v>43.8</v>
      </c>
      <c r="E12" s="36" t="s">
        <v>51</v>
      </c>
      <c r="F12" s="34"/>
      <c r="G12" s="34"/>
      <c r="H12" s="34"/>
      <c r="I12" s="34"/>
      <c r="J12" s="34"/>
      <c r="K12" s="34"/>
      <c r="L12" s="34"/>
    </row>
    <row r="13" spans="1:12" ht="13.5">
      <c r="A13" s="10" t="s">
        <v>14</v>
      </c>
      <c r="B13" s="16" t="s">
        <v>27</v>
      </c>
      <c r="C13" s="35"/>
      <c r="D13" s="36">
        <v>12.7</v>
      </c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38"/>
      <c r="B14" s="16" t="s">
        <v>66</v>
      </c>
      <c r="C14" s="36"/>
      <c r="D14" s="36">
        <v>9.7</v>
      </c>
      <c r="E14" s="34"/>
      <c r="F14" s="34"/>
      <c r="G14" s="34"/>
      <c r="H14" s="34"/>
      <c r="I14" s="34"/>
      <c r="J14" s="34"/>
      <c r="K14" s="34"/>
      <c r="L14" s="34"/>
    </row>
    <row r="15" spans="1:12" ht="13.5">
      <c r="A15" s="10" t="s">
        <v>24</v>
      </c>
      <c r="B15" s="13" t="s">
        <v>0</v>
      </c>
      <c r="C15" s="35">
        <v>49.6083</v>
      </c>
      <c r="D15" s="36"/>
      <c r="E15" s="34"/>
      <c r="F15" s="34"/>
      <c r="G15" s="34"/>
      <c r="H15" s="34"/>
      <c r="I15" s="34"/>
      <c r="J15" s="34"/>
      <c r="K15" s="34"/>
      <c r="L15" s="34"/>
    </row>
    <row r="16" spans="1:12" ht="13.5">
      <c r="A16" s="10" t="s">
        <v>25</v>
      </c>
      <c r="B16" s="13" t="s">
        <v>1</v>
      </c>
      <c r="C16" s="35"/>
      <c r="D16" s="32"/>
      <c r="E16" s="34"/>
      <c r="F16" s="34"/>
      <c r="G16" s="34"/>
      <c r="H16" s="34"/>
      <c r="I16" s="34"/>
      <c r="J16" s="34"/>
      <c r="K16" s="34"/>
      <c r="L16" s="34"/>
    </row>
    <row r="17" spans="5:12" ht="12.75">
      <c r="E17" s="34"/>
      <c r="F17" s="34"/>
      <c r="G17" s="34"/>
      <c r="H17" s="34"/>
      <c r="I17" s="34"/>
      <c r="J17" s="34"/>
      <c r="K17" s="34"/>
      <c r="L17" s="34"/>
    </row>
    <row r="18" spans="5:12" ht="12.75"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1" ht="13.5">
      <c r="A21" s="10" t="s">
        <v>24</v>
      </c>
      <c r="B21" s="11" t="s">
        <v>0</v>
      </c>
      <c r="C21" s="39">
        <f>C15+D15/60</f>
        <v>49.6083</v>
      </c>
      <c r="D21" s="34"/>
      <c r="E21" s="13" t="s">
        <v>11</v>
      </c>
      <c r="F21" s="40">
        <f>C2</f>
        <v>0.375</v>
      </c>
      <c r="G21" s="16" t="s">
        <v>63</v>
      </c>
      <c r="H21" s="41">
        <f>C12+D12/60</f>
        <v>2.73</v>
      </c>
      <c r="I21" s="42"/>
      <c r="J21" s="43" t="s">
        <v>15</v>
      </c>
      <c r="K21" s="39">
        <f>SIN(RADIANS(H23))</f>
        <v>0.05131921584659505</v>
      </c>
    </row>
    <row r="22" spans="1:11" ht="14.25" thickBot="1">
      <c r="A22" s="10" t="s">
        <v>25</v>
      </c>
      <c r="B22" s="11" t="s">
        <v>1</v>
      </c>
      <c r="C22" s="39">
        <f>C16+D16/60</f>
        <v>0</v>
      </c>
      <c r="D22" s="34"/>
      <c r="E22" s="13" t="s">
        <v>18</v>
      </c>
      <c r="F22" s="44">
        <f>C10+D10/60</f>
        <v>346.27</v>
      </c>
      <c r="G22" s="70" t="s">
        <v>27</v>
      </c>
      <c r="H22" s="71">
        <f>C13+D13/60</f>
        <v>0.21166666666666664</v>
      </c>
      <c r="I22" s="42"/>
      <c r="J22" s="43" t="s">
        <v>16</v>
      </c>
      <c r="K22" s="39">
        <f>COS(RADIANS(H23))*COS(RADIANS(F28))</f>
        <v>0.4025616353490293</v>
      </c>
    </row>
    <row r="23" spans="1:11" ht="15" thickBot="1" thickTop="1">
      <c r="A23" s="56" t="s">
        <v>29</v>
      </c>
      <c r="B23" s="77" t="s">
        <v>2</v>
      </c>
      <c r="C23" s="78">
        <f>0.0293*SQRT(C3)</f>
        <v>0.06808704722632639</v>
      </c>
      <c r="D23" s="34"/>
      <c r="E23" s="16" t="s">
        <v>59</v>
      </c>
      <c r="F23" s="44">
        <f>C11+D11/60</f>
        <v>10.94</v>
      </c>
      <c r="G23" s="72" t="s">
        <v>64</v>
      </c>
      <c r="H23" s="73">
        <f>IF(E12="N",H21+H22,-H21-H22)</f>
        <v>2.9416666666666664</v>
      </c>
      <c r="I23" s="42"/>
      <c r="J23" s="43" t="s">
        <v>17</v>
      </c>
      <c r="K23" s="39">
        <f>IF(E8="N",DEGREES(ASIN(K21*SIN(RADIANS(C8+D8/60))+K22*COS(RADIANS(C8+D8/60)))),DEGREES(ASIN(K21*SIN(RADIANS(-C8-D8/60))+K22*COS(RADIANS(-C8-D8/60)))))</f>
        <v>19.905177442131613</v>
      </c>
    </row>
    <row r="24" spans="1:11" ht="15" thickBot="1" thickTop="1">
      <c r="A24" s="79" t="s">
        <v>43</v>
      </c>
      <c r="B24" s="80" t="s">
        <v>3</v>
      </c>
      <c r="C24" s="81">
        <f>C21+C22-C23</f>
        <v>49.54021295277367</v>
      </c>
      <c r="D24" s="34"/>
      <c r="E24" s="70" t="s">
        <v>66</v>
      </c>
      <c r="F24" s="74">
        <f>C14+D14/60</f>
        <v>0.16166666666666665</v>
      </c>
      <c r="G24" s="34"/>
      <c r="H24" s="34"/>
      <c r="I24" s="34"/>
      <c r="J24" s="34"/>
      <c r="K24" s="45"/>
    </row>
    <row r="25" spans="1:11" ht="14.25" thickTop="1">
      <c r="A25" s="10" t="s">
        <v>42</v>
      </c>
      <c r="B25" s="11" t="s">
        <v>5</v>
      </c>
      <c r="C25" s="39">
        <f>0.0167/TAN(RADIANS(C24+7.31/(C24+4.4)))</f>
        <v>0.014174794260641933</v>
      </c>
      <c r="D25" s="34"/>
      <c r="E25" s="75" t="s">
        <v>10</v>
      </c>
      <c r="F25" s="73">
        <f>F22+F23+F24</f>
        <v>357.37166666666667</v>
      </c>
      <c r="G25" s="34"/>
      <c r="H25" s="34"/>
      <c r="I25" s="34"/>
      <c r="J25" s="46" t="s">
        <v>53</v>
      </c>
      <c r="K25" s="39">
        <f>IF(E8="N",(K21*COS(RADIANS(C8+D8/60))-K22*SIN(RADIANS(C8+D8/60)))/COS(RADIANS(K23)),(K21*COS(RADIANS(-C8-D8/60))-K22*SIN(RADIANS(-C8-D8/60)))/COS(RADIANS(K23)))</f>
        <v>-0.2348794238043632</v>
      </c>
    </row>
    <row r="26" spans="1:11" ht="14.25" thickBot="1">
      <c r="A26" s="10" t="s">
        <v>41</v>
      </c>
      <c r="B26" s="11" t="s">
        <v>6</v>
      </c>
      <c r="C26" s="39">
        <f>0.28*C4/(C5+273)</f>
        <v>1.0183703703703706</v>
      </c>
      <c r="D26" s="34"/>
      <c r="E26" s="76" t="s">
        <v>13</v>
      </c>
      <c r="F26" s="42">
        <f>IF(E9="E",C9+D9/60,-(C9+D9/60))</f>
        <v>-63.6</v>
      </c>
      <c r="G26" s="34"/>
      <c r="H26" s="34"/>
      <c r="I26" s="34"/>
      <c r="J26" s="46" t="s">
        <v>54</v>
      </c>
      <c r="K26" s="39">
        <f>DEGREES(ACOS(K25))</f>
        <v>103.58451532904401</v>
      </c>
    </row>
    <row r="27" spans="1:11" ht="15" thickBot="1" thickTop="1">
      <c r="A27" s="63" t="s">
        <v>40</v>
      </c>
      <c r="B27" s="64" t="s">
        <v>44</v>
      </c>
      <c r="C27" s="65">
        <f>C26*C25</f>
        <v>0.014435190481133729</v>
      </c>
      <c r="D27" s="34"/>
      <c r="E27" s="75" t="s">
        <v>50</v>
      </c>
      <c r="F27" s="73">
        <f>F25+F26</f>
        <v>293.77166666666665</v>
      </c>
      <c r="G27" s="34"/>
      <c r="H27" s="34"/>
      <c r="I27" s="34"/>
      <c r="J27" s="46" t="s">
        <v>55</v>
      </c>
      <c r="K27" s="39">
        <f>IF(F28&gt;180,K26,360-K26)</f>
        <v>103.58451532904401</v>
      </c>
    </row>
    <row r="28" spans="1:12" ht="14.25" thickTop="1">
      <c r="A28" s="60" t="s">
        <v>45</v>
      </c>
      <c r="B28" s="61" t="s">
        <v>9</v>
      </c>
      <c r="C28" s="62">
        <f>C24-C27</f>
        <v>49.525777762292535</v>
      </c>
      <c r="D28" s="34"/>
      <c r="E28" s="13" t="s">
        <v>19</v>
      </c>
      <c r="F28" s="44">
        <f>IF(F27&lt;0,360+F27,F27)</f>
        <v>293.77166666666665</v>
      </c>
      <c r="G28" s="34"/>
      <c r="H28" s="34"/>
      <c r="I28" s="34"/>
      <c r="J28" s="34"/>
      <c r="K28" s="34"/>
      <c r="L28" s="34"/>
    </row>
    <row r="29" spans="4:12" ht="12.75">
      <c r="D29" s="34"/>
      <c r="E29" s="34"/>
      <c r="F29" s="34"/>
      <c r="G29" s="34"/>
      <c r="H29" s="34"/>
      <c r="I29" s="34"/>
      <c r="J29" s="34"/>
      <c r="K29" s="34"/>
      <c r="L29" s="34"/>
    </row>
    <row r="30" spans="4:12" ht="12.75">
      <c r="D30" s="34"/>
      <c r="E30" s="34"/>
      <c r="F30" s="34"/>
      <c r="G30" s="34"/>
      <c r="H30" s="34"/>
      <c r="I30" s="34"/>
      <c r="J30" s="34"/>
      <c r="K30" s="34"/>
      <c r="L30" s="34"/>
    </row>
    <row r="31" spans="4:12" ht="12.75"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8">
      <c r="A33" s="21" t="s">
        <v>56</v>
      </c>
      <c r="B33" s="22" t="s">
        <v>57</v>
      </c>
      <c r="C33" s="23">
        <f>(C28-K23)*60</f>
        <v>1777.2360192096553</v>
      </c>
      <c r="D33" s="38" t="s">
        <v>60</v>
      </c>
      <c r="E33" s="34"/>
      <c r="F33" s="34"/>
      <c r="G33" s="34"/>
      <c r="H33" s="34"/>
      <c r="I33" s="34"/>
      <c r="J33" s="34"/>
      <c r="K33" s="34"/>
      <c r="L33" s="34"/>
    </row>
    <row r="34" spans="1:12" ht="18">
      <c r="A34" s="21" t="s">
        <v>58</v>
      </c>
      <c r="B34" s="22" t="s">
        <v>55</v>
      </c>
      <c r="C34" s="23">
        <f>K27</f>
        <v>103.58451532904401</v>
      </c>
      <c r="D34" s="38" t="s">
        <v>61</v>
      </c>
      <c r="E34" s="34"/>
      <c r="F34" s="34"/>
      <c r="G34" s="34"/>
      <c r="H34" s="34"/>
      <c r="I34" s="34"/>
      <c r="J34" s="34"/>
      <c r="K34" s="34"/>
      <c r="L34" s="34"/>
    </row>
    <row r="35" spans="1:12" ht="30.75" customHeight="1">
      <c r="A35" s="4" t="s">
        <v>62</v>
      </c>
      <c r="B35" s="1"/>
      <c r="C35" s="33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3.5">
      <c r="A36" s="10" t="s">
        <v>11</v>
      </c>
      <c r="B36" s="13" t="s">
        <v>11</v>
      </c>
      <c r="C36" s="31">
        <v>0.375</v>
      </c>
      <c r="D36" s="19" t="s">
        <v>71</v>
      </c>
      <c r="E36" s="34"/>
      <c r="F36" s="34"/>
      <c r="G36" s="34"/>
      <c r="H36" s="34"/>
      <c r="I36" s="34"/>
      <c r="J36" s="34"/>
      <c r="K36" s="34"/>
      <c r="L36" s="34"/>
    </row>
    <row r="37" spans="1:12" ht="13.5">
      <c r="A37" s="10" t="s">
        <v>35</v>
      </c>
      <c r="B37" s="13" t="s">
        <v>30</v>
      </c>
      <c r="C37" s="35">
        <v>5.4</v>
      </c>
      <c r="D37" s="25" t="s">
        <v>47</v>
      </c>
      <c r="E37" s="34"/>
      <c r="F37" s="34"/>
      <c r="G37" s="34"/>
      <c r="H37" s="34"/>
      <c r="I37" s="34"/>
      <c r="J37" s="34"/>
      <c r="K37" s="34"/>
      <c r="L37" s="34"/>
    </row>
    <row r="38" spans="1:12" ht="13.5">
      <c r="A38" s="10" t="s">
        <v>34</v>
      </c>
      <c r="B38" s="13" t="s">
        <v>31</v>
      </c>
      <c r="C38" s="18">
        <v>982</v>
      </c>
      <c r="D38" s="25" t="s">
        <v>48</v>
      </c>
      <c r="E38" s="34"/>
      <c r="F38" s="34"/>
      <c r="G38" s="34"/>
      <c r="H38" s="34"/>
      <c r="I38" s="34"/>
      <c r="J38" s="34"/>
      <c r="K38" s="34"/>
      <c r="L38" s="34"/>
    </row>
    <row r="39" spans="1:12" ht="13.5">
      <c r="A39" s="10" t="s">
        <v>33</v>
      </c>
      <c r="B39" s="13" t="s">
        <v>32</v>
      </c>
      <c r="C39" s="35">
        <v>-3</v>
      </c>
      <c r="D39" s="25" t="s">
        <v>49</v>
      </c>
      <c r="E39" s="34"/>
      <c r="F39" s="34"/>
      <c r="G39" s="34"/>
      <c r="H39" s="34"/>
      <c r="I39" s="34"/>
      <c r="J39" s="34"/>
      <c r="K39" s="34"/>
      <c r="L39" s="34"/>
    </row>
    <row r="40" spans="1:12" ht="13.5">
      <c r="A40" s="6"/>
      <c r="B40" s="7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9.75" customHeight="1">
      <c r="A41" s="6"/>
      <c r="B41" s="1"/>
      <c r="C41" s="8" t="s">
        <v>28</v>
      </c>
      <c r="D41" s="8" t="s">
        <v>23</v>
      </c>
      <c r="E41" s="8"/>
      <c r="F41" s="34"/>
      <c r="G41" s="34"/>
      <c r="H41" s="34"/>
      <c r="I41" s="34"/>
      <c r="J41" s="34"/>
      <c r="K41" s="34"/>
      <c r="L41" s="34"/>
    </row>
    <row r="42" spans="1:12" ht="13.5">
      <c r="A42" s="10" t="s">
        <v>21</v>
      </c>
      <c r="B42" s="16" t="s">
        <v>37</v>
      </c>
      <c r="C42" s="35">
        <v>40</v>
      </c>
      <c r="D42" s="36">
        <v>14.1</v>
      </c>
      <c r="E42" s="37" t="s">
        <v>51</v>
      </c>
      <c r="F42" s="34"/>
      <c r="G42" s="34"/>
      <c r="H42" s="34"/>
      <c r="I42" s="34"/>
      <c r="J42" s="34"/>
      <c r="K42" s="34"/>
      <c r="L42" s="34"/>
    </row>
    <row r="43" spans="1:12" ht="13.5">
      <c r="A43" s="10" t="s">
        <v>22</v>
      </c>
      <c r="B43" s="16" t="s">
        <v>36</v>
      </c>
      <c r="C43" s="35">
        <v>63</v>
      </c>
      <c r="D43" s="36">
        <v>36</v>
      </c>
      <c r="E43" s="36" t="s">
        <v>52</v>
      </c>
      <c r="F43" s="34"/>
      <c r="G43" s="34"/>
      <c r="H43" s="34"/>
      <c r="I43" s="34"/>
      <c r="J43" s="34"/>
      <c r="K43" s="34"/>
      <c r="L43" s="34"/>
    </row>
    <row r="44" spans="1:12" ht="13.5">
      <c r="A44" s="10" t="s">
        <v>10</v>
      </c>
      <c r="B44" s="13" t="s">
        <v>10</v>
      </c>
      <c r="C44" s="35">
        <v>346</v>
      </c>
      <c r="D44" s="36">
        <v>16.2</v>
      </c>
      <c r="E44" s="34"/>
      <c r="F44" s="34"/>
      <c r="G44" s="34"/>
      <c r="H44" s="34"/>
      <c r="I44" s="34"/>
      <c r="J44" s="34"/>
      <c r="K44" s="34"/>
      <c r="L44" s="34"/>
    </row>
    <row r="45" spans="1:12" ht="13.5">
      <c r="A45" s="10" t="s">
        <v>12</v>
      </c>
      <c r="B45" s="16" t="s">
        <v>59</v>
      </c>
      <c r="C45" s="35">
        <v>10</v>
      </c>
      <c r="D45" s="36">
        <v>56.4</v>
      </c>
      <c r="E45" s="34"/>
      <c r="F45" s="34"/>
      <c r="G45" s="34"/>
      <c r="H45" s="34"/>
      <c r="I45" s="34"/>
      <c r="J45" s="34"/>
      <c r="K45" s="34"/>
      <c r="L45" s="34"/>
    </row>
    <row r="46" spans="1:12" ht="13.5">
      <c r="A46" s="10" t="s">
        <v>20</v>
      </c>
      <c r="B46" s="16" t="s">
        <v>26</v>
      </c>
      <c r="C46" s="35">
        <v>2</v>
      </c>
      <c r="D46" s="36">
        <v>43.8</v>
      </c>
      <c r="E46" s="36" t="s">
        <v>51</v>
      </c>
      <c r="F46" s="34"/>
      <c r="G46" s="34"/>
      <c r="H46" s="34"/>
      <c r="I46" s="34"/>
      <c r="J46" s="34"/>
      <c r="K46" s="34"/>
      <c r="L46" s="34"/>
    </row>
    <row r="47" spans="1:12" ht="13.5">
      <c r="A47" s="10" t="s">
        <v>14</v>
      </c>
      <c r="B47" s="16" t="s">
        <v>27</v>
      </c>
      <c r="C47" s="35"/>
      <c r="D47" s="36">
        <v>12.7</v>
      </c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8"/>
      <c r="B48" s="16" t="s">
        <v>66</v>
      </c>
      <c r="C48" s="36"/>
      <c r="D48" s="36">
        <v>9.7</v>
      </c>
      <c r="E48" s="34"/>
      <c r="F48" s="34"/>
      <c r="G48" s="34"/>
      <c r="H48" s="34"/>
      <c r="I48" s="34"/>
      <c r="J48" s="34"/>
      <c r="K48" s="34"/>
      <c r="L48" s="34"/>
    </row>
    <row r="49" spans="1:12" ht="13.5">
      <c r="A49" s="10" t="s">
        <v>24</v>
      </c>
      <c r="B49" s="13" t="s">
        <v>0</v>
      </c>
      <c r="C49" s="35">
        <v>49.6083</v>
      </c>
      <c r="D49" s="36"/>
      <c r="E49" s="34"/>
      <c r="F49" s="34"/>
      <c r="G49" s="34"/>
      <c r="H49" s="34"/>
      <c r="I49" s="34"/>
      <c r="J49" s="34"/>
      <c r="K49" s="34"/>
      <c r="L49" s="34"/>
    </row>
    <row r="50" spans="1:12" ht="13.5">
      <c r="A50" s="10" t="s">
        <v>25</v>
      </c>
      <c r="B50" s="13" t="s">
        <v>1</v>
      </c>
      <c r="C50" s="35"/>
      <c r="D50" s="32"/>
      <c r="E50" s="34"/>
      <c r="F50" s="34"/>
      <c r="G50" s="34"/>
      <c r="H50" s="34"/>
      <c r="I50" s="34"/>
      <c r="J50" s="34"/>
      <c r="K50" s="34"/>
      <c r="L50" s="34"/>
    </row>
    <row r="51" spans="5:12" ht="12.75">
      <c r="E51" s="34"/>
      <c r="F51" s="34"/>
      <c r="G51" s="34"/>
      <c r="H51" s="34"/>
      <c r="I51" s="34"/>
      <c r="J51" s="34"/>
      <c r="K51" s="34"/>
      <c r="L51" s="34"/>
    </row>
    <row r="52" spans="5:12" ht="12.75"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1" ht="13.5">
      <c r="A55" s="10" t="s">
        <v>24</v>
      </c>
      <c r="B55" s="11" t="s">
        <v>0</v>
      </c>
      <c r="C55" s="39">
        <f>C49+D49/60</f>
        <v>49.6083</v>
      </c>
      <c r="D55" s="34"/>
      <c r="E55" s="13" t="s">
        <v>11</v>
      </c>
      <c r="F55" s="40">
        <f>C36</f>
        <v>0.375</v>
      </c>
      <c r="G55" s="16" t="s">
        <v>63</v>
      </c>
      <c r="H55" s="41">
        <f>C46+D46/60</f>
        <v>2.73</v>
      </c>
      <c r="I55" s="42"/>
      <c r="J55" s="43" t="s">
        <v>15</v>
      </c>
      <c r="K55" s="39">
        <f>SIN(RADIANS(H57))</f>
        <v>0.05131921584659505</v>
      </c>
    </row>
    <row r="56" spans="1:11" ht="14.25" thickBot="1">
      <c r="A56" s="10" t="s">
        <v>25</v>
      </c>
      <c r="B56" s="11" t="s">
        <v>1</v>
      </c>
      <c r="C56" s="39">
        <f>C50+D50/60</f>
        <v>0</v>
      </c>
      <c r="D56" s="34"/>
      <c r="E56" s="13" t="s">
        <v>18</v>
      </c>
      <c r="F56" s="44">
        <f>C44+D44/60</f>
        <v>346.27</v>
      </c>
      <c r="G56" s="70" t="s">
        <v>27</v>
      </c>
      <c r="H56" s="71">
        <f>C47+D47/60</f>
        <v>0.21166666666666664</v>
      </c>
      <c r="I56" s="42"/>
      <c r="J56" s="43" t="s">
        <v>16</v>
      </c>
      <c r="K56" s="39">
        <f>COS(RADIANS(H57))*COS(RADIANS(F62))</f>
        <v>0.4025616353490293</v>
      </c>
    </row>
    <row r="57" spans="1:11" ht="15" thickBot="1" thickTop="1">
      <c r="A57" s="56" t="s">
        <v>29</v>
      </c>
      <c r="B57" s="77" t="s">
        <v>2</v>
      </c>
      <c r="C57" s="78">
        <f>0.0293*SQRT(C37)</f>
        <v>0.06808704722632639</v>
      </c>
      <c r="D57" s="34"/>
      <c r="E57" s="16" t="s">
        <v>59</v>
      </c>
      <c r="F57" s="44">
        <f>C45+D45/60</f>
        <v>10.94</v>
      </c>
      <c r="G57" s="72" t="s">
        <v>64</v>
      </c>
      <c r="H57" s="73">
        <f>IF(E46="N",H55+H56,-H55-H56)</f>
        <v>2.9416666666666664</v>
      </c>
      <c r="I57" s="42"/>
      <c r="J57" s="43" t="s">
        <v>17</v>
      </c>
      <c r="K57" s="39">
        <f>IF(E42="N",DEGREES(ASIN(K55*SIN(RADIANS(C42+D42/60))+K56*COS(RADIANS(C42+D42/60)))),DEGREES(ASIN(K55*SIN(RADIANS(-C42-D42/60))+K56*COS(RADIANS(-C42-D42/60)))))</f>
        <v>19.905177442131613</v>
      </c>
    </row>
    <row r="58" spans="1:11" ht="15" thickBot="1" thickTop="1">
      <c r="A58" s="79" t="s">
        <v>43</v>
      </c>
      <c r="B58" s="80" t="s">
        <v>3</v>
      </c>
      <c r="C58" s="81">
        <f>C55+C56-C57</f>
        <v>49.54021295277367</v>
      </c>
      <c r="D58" s="34"/>
      <c r="E58" s="70" t="s">
        <v>66</v>
      </c>
      <c r="F58" s="74">
        <f>C48+D48/60</f>
        <v>0.16166666666666665</v>
      </c>
      <c r="G58" s="34"/>
      <c r="H58" s="34"/>
      <c r="I58" s="34"/>
      <c r="J58" s="34"/>
      <c r="K58" s="45"/>
    </row>
    <row r="59" spans="1:11" ht="14.25" thickTop="1">
      <c r="A59" s="10" t="s">
        <v>42</v>
      </c>
      <c r="B59" s="11" t="s">
        <v>5</v>
      </c>
      <c r="C59" s="39">
        <f>0.0167/TAN(RADIANS(C58+7.31/(C58+4.4)))</f>
        <v>0.014174794260641933</v>
      </c>
      <c r="D59" s="34"/>
      <c r="E59" s="75" t="s">
        <v>10</v>
      </c>
      <c r="F59" s="73">
        <f>F56+F57+F58</f>
        <v>357.37166666666667</v>
      </c>
      <c r="G59" s="34"/>
      <c r="H59" s="34"/>
      <c r="I59" s="34"/>
      <c r="J59" s="46" t="s">
        <v>53</v>
      </c>
      <c r="K59" s="39">
        <f>IF(E42="N",(K55*COS(RADIANS(C42+D42/60))-K56*SIN(RADIANS(C42+D42/60)))/COS(RADIANS(K57)),(K55*COS(RADIANS(-C42-D42/60))-K56*SIN(RADIANS(-C42-D42/60)))/COS(RADIANS(K57)))</f>
        <v>-0.2348794238043632</v>
      </c>
    </row>
    <row r="60" spans="1:11" ht="14.25" thickBot="1">
      <c r="A60" s="10" t="s">
        <v>41</v>
      </c>
      <c r="B60" s="11" t="s">
        <v>6</v>
      </c>
      <c r="C60" s="39">
        <f>0.28*C38/(C39+273)</f>
        <v>1.0183703703703706</v>
      </c>
      <c r="D60" s="34"/>
      <c r="E60" s="76" t="s">
        <v>13</v>
      </c>
      <c r="F60" s="42">
        <f>IF(E43="E",C43+D43/60,-(C43+D43/60))</f>
        <v>-63.6</v>
      </c>
      <c r="G60" s="34"/>
      <c r="H60" s="34"/>
      <c r="I60" s="34"/>
      <c r="J60" s="46" t="s">
        <v>54</v>
      </c>
      <c r="K60" s="39">
        <f>DEGREES(ACOS(K59))</f>
        <v>103.58451532904401</v>
      </c>
    </row>
    <row r="61" spans="1:11" ht="15" thickBot="1" thickTop="1">
      <c r="A61" s="63" t="s">
        <v>40</v>
      </c>
      <c r="B61" s="64" t="s">
        <v>44</v>
      </c>
      <c r="C61" s="65">
        <f>C60*C59</f>
        <v>0.014435190481133729</v>
      </c>
      <c r="D61" s="34"/>
      <c r="E61" s="75" t="s">
        <v>50</v>
      </c>
      <c r="F61" s="73">
        <f>F59+F60</f>
        <v>293.77166666666665</v>
      </c>
      <c r="G61" s="34"/>
      <c r="H61" s="34"/>
      <c r="I61" s="34"/>
      <c r="J61" s="46" t="s">
        <v>55</v>
      </c>
      <c r="K61" s="39">
        <f>IF(F62&gt;180,K60,360-K60)</f>
        <v>103.58451532904401</v>
      </c>
    </row>
    <row r="62" spans="1:12" ht="14.25" thickTop="1">
      <c r="A62" s="60" t="s">
        <v>45</v>
      </c>
      <c r="B62" s="61" t="s">
        <v>9</v>
      </c>
      <c r="C62" s="62">
        <f>C58-C61</f>
        <v>49.525777762292535</v>
      </c>
      <c r="D62" s="34"/>
      <c r="E62" s="13" t="s">
        <v>19</v>
      </c>
      <c r="F62" s="44">
        <f>IF(F61&lt;0,360+F61,F61)</f>
        <v>293.77166666666665</v>
      </c>
      <c r="G62" s="34"/>
      <c r="H62" s="34"/>
      <c r="I62" s="34"/>
      <c r="J62" s="34"/>
      <c r="K62" s="34"/>
      <c r="L62" s="34"/>
    </row>
    <row r="63" spans="4:12" ht="12.75">
      <c r="D63" s="34"/>
      <c r="E63" s="34"/>
      <c r="F63" s="34"/>
      <c r="G63" s="34"/>
      <c r="H63" s="34"/>
      <c r="I63" s="34"/>
      <c r="J63" s="34"/>
      <c r="K63" s="34"/>
      <c r="L63" s="34"/>
    </row>
    <row r="64" spans="4:12" ht="12.75">
      <c r="D64" s="34"/>
      <c r="E64" s="34"/>
      <c r="F64" s="34"/>
      <c r="G64" s="34"/>
      <c r="H64" s="34"/>
      <c r="I64" s="34"/>
      <c r="J64" s="34"/>
      <c r="K64" s="34"/>
      <c r="L64" s="34"/>
    </row>
    <row r="65" spans="4:12" ht="12.75"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8">
      <c r="A67" s="21" t="s">
        <v>56</v>
      </c>
      <c r="B67" s="22" t="s">
        <v>57</v>
      </c>
      <c r="C67" s="23">
        <f>(C62-K57)*60</f>
        <v>1777.2360192096553</v>
      </c>
      <c r="D67" s="38" t="s">
        <v>60</v>
      </c>
      <c r="E67" s="34"/>
      <c r="F67" s="34"/>
      <c r="G67" s="34"/>
      <c r="H67" s="34"/>
      <c r="I67" s="34"/>
      <c r="J67" s="34"/>
      <c r="K67" s="34"/>
      <c r="L67" s="34"/>
    </row>
    <row r="68" spans="1:12" ht="18">
      <c r="A68" s="21" t="s">
        <v>58</v>
      </c>
      <c r="B68" s="22" t="s">
        <v>55</v>
      </c>
      <c r="C68" s="23">
        <f>K61</f>
        <v>103.58451532904401</v>
      </c>
      <c r="D68" s="38" t="s">
        <v>61</v>
      </c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</sheetData>
  <printOptions/>
  <pageMargins left="0.75" right="0.75" top="1" bottom="1" header="0.5" footer="0.5"/>
  <pageSetup horizontalDpi="300" verticalDpi="3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4"/>
  <sheetViews>
    <sheetView showGridLines="0" zoomScale="75" zoomScaleNormal="75" workbookViewId="0" topLeftCell="A1">
      <selection activeCell="E8" sqref="E8"/>
    </sheetView>
  </sheetViews>
  <sheetFormatPr defaultColWidth="9.140625" defaultRowHeight="12.75"/>
  <cols>
    <col min="1" max="1" width="22.7109375" style="0" customWidth="1"/>
    <col min="2" max="2" width="6.28125" style="0" customWidth="1"/>
    <col min="3" max="3" width="10.140625" style="0" customWidth="1"/>
    <col min="4" max="4" width="8.421875" style="0" customWidth="1"/>
    <col min="5" max="5" width="6.8515625" style="0" customWidth="1"/>
    <col min="6" max="6" width="9.57421875" style="0" customWidth="1"/>
    <col min="7" max="7" width="6.7109375" style="0" customWidth="1"/>
    <col min="9" max="9" width="3.00390625" style="0" customWidth="1"/>
    <col min="10" max="10" width="6.421875" style="0" customWidth="1"/>
    <col min="11" max="11" width="12.8515625" style="0" customWidth="1"/>
    <col min="12" max="12" width="30.140625" style="0" customWidth="1"/>
  </cols>
  <sheetData>
    <row r="1" spans="1:12" ht="30.75" customHeight="1">
      <c r="A1" s="4" t="s">
        <v>62</v>
      </c>
      <c r="B1" s="1"/>
      <c r="C1" s="33"/>
      <c r="D1" s="34"/>
      <c r="E1" s="34"/>
      <c r="F1" s="34"/>
      <c r="G1" s="34"/>
      <c r="H1" s="34"/>
      <c r="I1" s="34"/>
      <c r="J1" s="34"/>
      <c r="K1" s="34"/>
      <c r="L1" s="34"/>
    </row>
    <row r="2" spans="1:12" ht="13.5">
      <c r="A2" s="10" t="s">
        <v>11</v>
      </c>
      <c r="B2" s="13" t="s">
        <v>11</v>
      </c>
      <c r="C2" s="31">
        <v>0.375</v>
      </c>
      <c r="D2" s="19" t="s">
        <v>71</v>
      </c>
      <c r="E2" s="34"/>
      <c r="F2" s="34"/>
      <c r="G2" s="34"/>
      <c r="H2" s="34"/>
      <c r="I2" s="34"/>
      <c r="J2" s="34"/>
      <c r="K2" s="34"/>
      <c r="L2" s="34"/>
    </row>
    <row r="3" spans="1:12" ht="13.5">
      <c r="A3" s="10" t="s">
        <v>35</v>
      </c>
      <c r="B3" s="13" t="s">
        <v>30</v>
      </c>
      <c r="C3" s="35">
        <v>5.4</v>
      </c>
      <c r="D3" s="25" t="s">
        <v>47</v>
      </c>
      <c r="E3" s="34"/>
      <c r="F3" s="34"/>
      <c r="G3" s="34"/>
      <c r="H3" s="34"/>
      <c r="I3" s="34"/>
      <c r="J3" s="34"/>
      <c r="K3" s="34"/>
      <c r="L3" s="34"/>
    </row>
    <row r="4" spans="1:12" ht="13.5">
      <c r="A4" s="10" t="s">
        <v>34</v>
      </c>
      <c r="B4" s="13" t="s">
        <v>31</v>
      </c>
      <c r="C4" s="18">
        <v>982</v>
      </c>
      <c r="D4" s="25" t="s">
        <v>48</v>
      </c>
      <c r="E4" s="34"/>
      <c r="F4" s="34"/>
      <c r="G4" s="34"/>
      <c r="H4" s="34"/>
      <c r="I4" s="34"/>
      <c r="J4" s="34"/>
      <c r="K4" s="34"/>
      <c r="L4" s="34"/>
    </row>
    <row r="5" spans="1:12" ht="13.5">
      <c r="A5" s="10" t="s">
        <v>33</v>
      </c>
      <c r="B5" s="13" t="s">
        <v>32</v>
      </c>
      <c r="C5" s="35">
        <v>-3</v>
      </c>
      <c r="D5" s="25" t="s">
        <v>49</v>
      </c>
      <c r="E5" s="34"/>
      <c r="F5" s="34"/>
      <c r="G5" s="34"/>
      <c r="H5" s="34"/>
      <c r="I5" s="34"/>
      <c r="J5" s="34"/>
      <c r="K5" s="34"/>
      <c r="L5" s="34"/>
    </row>
    <row r="6" spans="1:12" ht="13.5">
      <c r="A6" s="6"/>
      <c r="B6" s="7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9.75" customHeight="1">
      <c r="A7" s="6"/>
      <c r="B7" s="1"/>
      <c r="C7" s="8" t="s">
        <v>28</v>
      </c>
      <c r="D7" s="8" t="s">
        <v>23</v>
      </c>
      <c r="E7" s="8"/>
      <c r="F7" s="34"/>
      <c r="G7" s="34"/>
      <c r="H7" s="34"/>
      <c r="I7" s="34"/>
      <c r="J7" s="34"/>
      <c r="K7" s="34"/>
      <c r="L7" s="34"/>
    </row>
    <row r="8" spans="1:12" ht="13.5">
      <c r="A8" s="10" t="s">
        <v>21</v>
      </c>
      <c r="B8" s="16" t="s">
        <v>37</v>
      </c>
      <c r="C8" s="35">
        <v>40</v>
      </c>
      <c r="D8" s="47">
        <v>14.1</v>
      </c>
      <c r="E8" s="37" t="s">
        <v>51</v>
      </c>
      <c r="F8" s="34"/>
      <c r="G8" s="34"/>
      <c r="H8" s="34"/>
      <c r="I8" s="34"/>
      <c r="J8" s="34"/>
      <c r="K8" s="34"/>
      <c r="L8" s="34"/>
    </row>
    <row r="9" spans="1:12" ht="13.5">
      <c r="A9" s="10" t="s">
        <v>22</v>
      </c>
      <c r="B9" s="16" t="s">
        <v>36</v>
      </c>
      <c r="C9" s="35">
        <v>63</v>
      </c>
      <c r="D9" s="47">
        <v>36</v>
      </c>
      <c r="E9" s="36" t="s">
        <v>52</v>
      </c>
      <c r="F9" s="34"/>
      <c r="G9" s="34"/>
      <c r="H9" s="34"/>
      <c r="I9" s="34"/>
      <c r="J9" s="34"/>
      <c r="K9" s="34"/>
      <c r="L9" s="34"/>
    </row>
    <row r="10" spans="1:12" ht="13.5">
      <c r="A10" s="10" t="s">
        <v>10</v>
      </c>
      <c r="B10" s="13" t="s">
        <v>10</v>
      </c>
      <c r="C10" s="35">
        <v>144</v>
      </c>
      <c r="D10" s="47">
        <v>52.2</v>
      </c>
      <c r="E10" s="34"/>
      <c r="F10" s="34"/>
      <c r="G10" s="34"/>
      <c r="H10" s="34"/>
      <c r="I10" s="34"/>
      <c r="J10" s="34"/>
      <c r="K10" s="34"/>
      <c r="L10" s="34"/>
    </row>
    <row r="11" spans="1:12" ht="13.5">
      <c r="A11" s="10" t="s">
        <v>12</v>
      </c>
      <c r="B11" s="16" t="s">
        <v>59</v>
      </c>
      <c r="C11" s="35">
        <v>7</v>
      </c>
      <c r="D11" s="47">
        <v>1.9</v>
      </c>
      <c r="E11" s="34"/>
      <c r="F11" s="34"/>
      <c r="G11" s="34"/>
      <c r="H11" s="34"/>
      <c r="I11" s="34"/>
      <c r="J11" s="34"/>
      <c r="K11" s="34"/>
      <c r="L11" s="34"/>
    </row>
    <row r="12" spans="1:12" ht="13.5">
      <c r="A12" s="10" t="s">
        <v>20</v>
      </c>
      <c r="B12" s="16" t="s">
        <v>26</v>
      </c>
      <c r="C12" s="35">
        <v>11</v>
      </c>
      <c r="D12" s="47">
        <v>58.1</v>
      </c>
      <c r="E12" s="36" t="s">
        <v>51</v>
      </c>
      <c r="F12" s="34"/>
      <c r="G12" s="34"/>
      <c r="H12" s="34"/>
      <c r="I12" s="34"/>
      <c r="J12" s="34"/>
      <c r="K12" s="34"/>
      <c r="L12" s="34"/>
    </row>
    <row r="13" spans="1:12" ht="13.5">
      <c r="A13" s="10" t="s">
        <v>67</v>
      </c>
      <c r="B13" s="11" t="s">
        <v>70</v>
      </c>
      <c r="C13" s="35">
        <v>207</v>
      </c>
      <c r="D13" s="47">
        <v>54.8</v>
      </c>
      <c r="E13" s="34"/>
      <c r="F13" s="34"/>
      <c r="G13" s="34"/>
      <c r="H13" s="34"/>
      <c r="I13" s="34"/>
      <c r="J13" s="34"/>
      <c r="K13" s="34"/>
      <c r="L13" s="34"/>
    </row>
    <row r="14" spans="1:12" ht="13.5">
      <c r="A14" s="10" t="s">
        <v>24</v>
      </c>
      <c r="B14" s="13" t="s">
        <v>0</v>
      </c>
      <c r="C14" s="35">
        <v>49.6083</v>
      </c>
      <c r="D14" s="47"/>
      <c r="E14" s="34"/>
      <c r="F14" s="34"/>
      <c r="G14" s="34"/>
      <c r="H14" s="34"/>
      <c r="I14" s="34"/>
      <c r="J14" s="34"/>
      <c r="K14" s="34"/>
      <c r="L14" s="34"/>
    </row>
    <row r="15" spans="1:12" ht="13.5">
      <c r="A15" s="10" t="s">
        <v>25</v>
      </c>
      <c r="B15" s="13" t="s">
        <v>1</v>
      </c>
      <c r="C15" s="35"/>
      <c r="D15" s="48"/>
      <c r="E15" s="34"/>
      <c r="F15" s="34"/>
      <c r="G15" s="34"/>
      <c r="H15" s="34"/>
      <c r="I15" s="34"/>
      <c r="J15" s="34"/>
      <c r="K15" s="34"/>
      <c r="L15" s="34"/>
    </row>
    <row r="16" spans="5:12" ht="12.75">
      <c r="E16" s="34"/>
      <c r="F16" s="34"/>
      <c r="G16" s="34"/>
      <c r="H16" s="34"/>
      <c r="I16" s="34"/>
      <c r="J16" s="34"/>
      <c r="K16" s="34"/>
      <c r="L16" s="34"/>
    </row>
    <row r="17" spans="5:12" ht="12.75">
      <c r="E17" s="34"/>
      <c r="F17" s="34"/>
      <c r="G17" s="34"/>
      <c r="H17" s="34"/>
      <c r="I17" s="34"/>
      <c r="J17" s="34"/>
      <c r="K17" s="34"/>
      <c r="L17" s="34"/>
    </row>
    <row r="18" spans="5:12" ht="12.75"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1" ht="13.5">
      <c r="A21" s="10" t="s">
        <v>24</v>
      </c>
      <c r="B21" s="11" t="s">
        <v>0</v>
      </c>
      <c r="C21" s="39">
        <f>C14+D14/60</f>
        <v>49.6083</v>
      </c>
      <c r="D21" s="34"/>
      <c r="E21" s="13" t="s">
        <v>11</v>
      </c>
      <c r="F21" s="40">
        <f>C2</f>
        <v>0.375</v>
      </c>
      <c r="G21" s="16" t="s">
        <v>64</v>
      </c>
      <c r="H21" s="44">
        <f>IF(E12="N",C12+D12/60,-(C12+D12/60))</f>
        <v>11.968333333333334</v>
      </c>
      <c r="I21" s="42"/>
      <c r="J21" s="43" t="s">
        <v>15</v>
      </c>
      <c r="K21" s="39">
        <f>SIN(RADIANS(H21))</f>
        <v>0.20737104904412085</v>
      </c>
    </row>
    <row r="22" spans="1:11" ht="13.5">
      <c r="A22" s="10" t="s">
        <v>25</v>
      </c>
      <c r="B22" s="11" t="s">
        <v>1</v>
      </c>
      <c r="C22" s="39">
        <f>C15+D15/60</f>
        <v>0</v>
      </c>
      <c r="D22" s="34"/>
      <c r="E22" s="13" t="s">
        <v>18</v>
      </c>
      <c r="F22" s="44">
        <f>C10+D10/60</f>
        <v>144.87</v>
      </c>
      <c r="G22" s="53"/>
      <c r="H22" s="54"/>
      <c r="I22" s="52"/>
      <c r="J22" s="43" t="s">
        <v>16</v>
      </c>
      <c r="K22" s="39">
        <f>COS(RADIANS(H21))*COS(RADIANS(F28))</f>
        <v>0.43213833886854</v>
      </c>
    </row>
    <row r="23" spans="1:11" ht="14.25" thickBot="1">
      <c r="A23" s="56" t="s">
        <v>29</v>
      </c>
      <c r="B23" s="77" t="s">
        <v>2</v>
      </c>
      <c r="C23" s="78">
        <f>0.0293*SQRT(C3)</f>
        <v>0.06808704722632639</v>
      </c>
      <c r="D23" s="34"/>
      <c r="E23" s="16" t="s">
        <v>59</v>
      </c>
      <c r="F23" s="44">
        <f>C11+D11/60</f>
        <v>7.031666666666666</v>
      </c>
      <c r="G23" s="55"/>
      <c r="H23" s="55"/>
      <c r="I23" s="52"/>
      <c r="J23" s="43" t="s">
        <v>17</v>
      </c>
      <c r="K23" s="39">
        <f>IF(E8="N",DEGREES(ASIN(K21*SIN(RADIANS(C8+D8/60))+K22*COS(RADIANS(C8+D8/60)))),DEGREES(ASIN(K21*SIN(RADIANS(-C8-D8/60))+K22*COS(RADIANS(-C8-D8/60)))))</f>
        <v>27.635243583415747</v>
      </c>
    </row>
    <row r="24" spans="1:11" ht="15" thickBot="1" thickTop="1">
      <c r="A24" s="79" t="s">
        <v>43</v>
      </c>
      <c r="B24" s="80" t="s">
        <v>3</v>
      </c>
      <c r="C24" s="81">
        <f>C21+C22-C23</f>
        <v>49.54021295277367</v>
      </c>
      <c r="D24" s="34"/>
      <c r="E24" s="64" t="s">
        <v>70</v>
      </c>
      <c r="F24" s="68">
        <f>C13+D13/60</f>
        <v>207.91333333333333</v>
      </c>
      <c r="G24" s="34"/>
      <c r="H24" s="34"/>
      <c r="I24" s="34"/>
      <c r="J24" s="34"/>
      <c r="K24" s="45"/>
    </row>
    <row r="25" spans="1:11" ht="14.25" thickTop="1">
      <c r="A25" s="60" t="s">
        <v>42</v>
      </c>
      <c r="B25" s="61" t="s">
        <v>5</v>
      </c>
      <c r="C25" s="62">
        <f>0.0167/TAN(RADIANS(C24+7.31/(C24+4.4)))</f>
        <v>0.014174794260641933</v>
      </c>
      <c r="D25" s="34"/>
      <c r="E25" s="66" t="s">
        <v>10</v>
      </c>
      <c r="F25" s="67">
        <f>F22+F23+F24</f>
        <v>359.815</v>
      </c>
      <c r="G25" s="34"/>
      <c r="H25" s="34"/>
      <c r="I25" s="34"/>
      <c r="J25" s="46" t="s">
        <v>53</v>
      </c>
      <c r="K25" s="39">
        <f>IF(E8="N",(K21*COS(RADIANS(C8+D8/60))-K22*SIN(RADIANS(C8+D8/60)))/COS(RADIANS(K23)),(K21*COS(RADIANS(-C8-D8/60))-K22*SIN(RADIANS(-C8-D8/60)))/COS(RADIANS(K23)))</f>
        <v>-0.1363795943446569</v>
      </c>
    </row>
    <row r="26" spans="1:11" ht="14.25" thickBot="1">
      <c r="A26" s="10" t="s">
        <v>41</v>
      </c>
      <c r="B26" s="11" t="s">
        <v>6</v>
      </c>
      <c r="C26" s="39">
        <f>0.28*C4/(C5+273)</f>
        <v>1.0183703703703706</v>
      </c>
      <c r="D26" s="34"/>
      <c r="E26" s="69" t="s">
        <v>13</v>
      </c>
      <c r="F26" s="68">
        <f>IF(E9="E",C9+D9/60,-(C9+D9/60))</f>
        <v>-63.6</v>
      </c>
      <c r="G26" s="34"/>
      <c r="H26" s="34"/>
      <c r="I26" s="34"/>
      <c r="J26" s="46" t="s">
        <v>54</v>
      </c>
      <c r="K26" s="39">
        <f>DEGREES(ACOS(K25))</f>
        <v>97.83840271044906</v>
      </c>
    </row>
    <row r="27" spans="1:11" ht="15" thickBot="1" thickTop="1">
      <c r="A27" s="63" t="s">
        <v>40</v>
      </c>
      <c r="B27" s="64" t="s">
        <v>44</v>
      </c>
      <c r="C27" s="65">
        <f>C26*C25</f>
        <v>0.014435190481133729</v>
      </c>
      <c r="D27" s="34"/>
      <c r="E27" s="66" t="s">
        <v>50</v>
      </c>
      <c r="F27" s="67">
        <f>F25+F26</f>
        <v>296.215</v>
      </c>
      <c r="G27" s="34"/>
      <c r="H27" s="34"/>
      <c r="I27" s="34"/>
      <c r="J27" s="46" t="s">
        <v>55</v>
      </c>
      <c r="K27" s="39">
        <f>IF(F28&gt;180,K26,360-K26)</f>
        <v>97.83840271044906</v>
      </c>
    </row>
    <row r="28" spans="1:12" ht="14.25" thickTop="1">
      <c r="A28" s="60" t="s">
        <v>45</v>
      </c>
      <c r="B28" s="61" t="s">
        <v>9</v>
      </c>
      <c r="C28" s="62">
        <f>C24-C27</f>
        <v>49.525777762292535</v>
      </c>
      <c r="D28" s="34"/>
      <c r="E28" s="13" t="s">
        <v>19</v>
      </c>
      <c r="F28" s="44">
        <f>IF(F27&lt;0,360+F27,F27)</f>
        <v>296.215</v>
      </c>
      <c r="G28" s="34"/>
      <c r="H28" s="34"/>
      <c r="I28" s="34"/>
      <c r="J28" s="34"/>
      <c r="K28" s="34"/>
      <c r="L28" s="34"/>
    </row>
    <row r="29" spans="4:12" ht="12.75">
      <c r="D29" s="34"/>
      <c r="E29" s="34"/>
      <c r="F29" s="34"/>
      <c r="G29" s="34"/>
      <c r="H29" s="34"/>
      <c r="I29" s="34"/>
      <c r="J29" s="34"/>
      <c r="K29" s="34"/>
      <c r="L29" s="34"/>
    </row>
    <row r="30" spans="4:12" ht="12.75"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8">
      <c r="A31" s="21" t="s">
        <v>56</v>
      </c>
      <c r="B31" s="22" t="s">
        <v>57</v>
      </c>
      <c r="C31" s="23">
        <f>(C28-K23)*60</f>
        <v>1313.4320507326072</v>
      </c>
      <c r="D31" s="38" t="s">
        <v>60</v>
      </c>
      <c r="E31" s="34"/>
      <c r="F31" s="34"/>
      <c r="G31" s="34"/>
      <c r="H31" s="34"/>
      <c r="I31" s="34"/>
      <c r="J31" s="34"/>
      <c r="K31" s="34"/>
      <c r="L31" s="34"/>
    </row>
    <row r="32" spans="1:12" ht="18">
      <c r="A32" s="21" t="s">
        <v>58</v>
      </c>
      <c r="B32" s="22" t="s">
        <v>55</v>
      </c>
      <c r="C32" s="23">
        <f>K27</f>
        <v>97.83840271044906</v>
      </c>
      <c r="D32" s="38" t="s">
        <v>61</v>
      </c>
      <c r="E32" s="34"/>
      <c r="F32" s="34"/>
      <c r="G32" s="34"/>
      <c r="H32" s="34"/>
      <c r="I32" s="34"/>
      <c r="J32" s="34"/>
      <c r="K32" s="34"/>
      <c r="L32" s="34"/>
    </row>
    <row r="33" spans="5:12" ht="12.75">
      <c r="E33" s="34"/>
      <c r="F33" s="34"/>
      <c r="G33" s="34"/>
      <c r="H33" s="34"/>
      <c r="I33" s="34"/>
      <c r="J33" s="34"/>
      <c r="K33" s="34"/>
      <c r="L33" s="34"/>
    </row>
    <row r="34" spans="5:12" ht="12.75"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40" spans="1:12" ht="30.75" customHeight="1">
      <c r="A40" s="4" t="s">
        <v>62</v>
      </c>
      <c r="B40" s="1"/>
      <c r="C40" s="33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3.5">
      <c r="A41" s="10" t="s">
        <v>11</v>
      </c>
      <c r="B41" s="13" t="s">
        <v>11</v>
      </c>
      <c r="C41" s="31">
        <v>0.375</v>
      </c>
      <c r="D41" s="19" t="s">
        <v>71</v>
      </c>
      <c r="E41" s="34"/>
      <c r="F41" s="34"/>
      <c r="G41" s="34"/>
      <c r="H41" s="34"/>
      <c r="I41" s="34"/>
      <c r="J41" s="34"/>
      <c r="K41" s="34"/>
      <c r="L41" s="34"/>
    </row>
    <row r="42" spans="1:12" ht="13.5">
      <c r="A42" s="10" t="s">
        <v>35</v>
      </c>
      <c r="B42" s="13" t="s">
        <v>30</v>
      </c>
      <c r="C42" s="35">
        <v>5.4</v>
      </c>
      <c r="D42" s="25" t="s">
        <v>47</v>
      </c>
      <c r="E42" s="34"/>
      <c r="F42" s="34"/>
      <c r="G42" s="34"/>
      <c r="H42" s="34"/>
      <c r="I42" s="34"/>
      <c r="J42" s="34"/>
      <c r="K42" s="34"/>
      <c r="L42" s="34"/>
    </row>
    <row r="43" spans="1:12" ht="13.5">
      <c r="A43" s="10" t="s">
        <v>34</v>
      </c>
      <c r="B43" s="13" t="s">
        <v>31</v>
      </c>
      <c r="C43" s="18">
        <v>982</v>
      </c>
      <c r="D43" s="25" t="s">
        <v>48</v>
      </c>
      <c r="E43" s="34"/>
      <c r="F43" s="34"/>
      <c r="G43" s="34"/>
      <c r="H43" s="34"/>
      <c r="I43" s="34"/>
      <c r="J43" s="34"/>
      <c r="K43" s="34"/>
      <c r="L43" s="34"/>
    </row>
    <row r="44" spans="1:12" ht="13.5">
      <c r="A44" s="10" t="s">
        <v>33</v>
      </c>
      <c r="B44" s="13" t="s">
        <v>32</v>
      </c>
      <c r="C44" s="35">
        <v>-3</v>
      </c>
      <c r="D44" s="25" t="s">
        <v>49</v>
      </c>
      <c r="E44" s="34"/>
      <c r="F44" s="34"/>
      <c r="G44" s="34"/>
      <c r="H44" s="34"/>
      <c r="I44" s="34"/>
      <c r="J44" s="34"/>
      <c r="K44" s="34"/>
      <c r="L44" s="34"/>
    </row>
    <row r="45" spans="1:12" ht="13.5">
      <c r="A45" s="6"/>
      <c r="B45" s="7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9.75" customHeight="1">
      <c r="A46" s="6"/>
      <c r="B46" s="1"/>
      <c r="C46" s="8" t="s">
        <v>28</v>
      </c>
      <c r="D46" s="8" t="s">
        <v>23</v>
      </c>
      <c r="E46" s="8"/>
      <c r="F46" s="34"/>
      <c r="G46" s="34"/>
      <c r="H46" s="34"/>
      <c r="I46" s="34"/>
      <c r="J46" s="34"/>
      <c r="K46" s="34"/>
      <c r="L46" s="34"/>
    </row>
    <row r="47" spans="1:12" ht="13.5">
      <c r="A47" s="10" t="s">
        <v>21</v>
      </c>
      <c r="B47" s="16" t="s">
        <v>37</v>
      </c>
      <c r="C47" s="35">
        <v>40</v>
      </c>
      <c r="D47" s="47">
        <v>14.1</v>
      </c>
      <c r="E47" s="37" t="s">
        <v>51</v>
      </c>
      <c r="F47" s="34"/>
      <c r="G47" s="34"/>
      <c r="H47" s="34"/>
      <c r="I47" s="34"/>
      <c r="J47" s="34"/>
      <c r="K47" s="34"/>
      <c r="L47" s="34"/>
    </row>
    <row r="48" spans="1:12" ht="13.5">
      <c r="A48" s="10" t="s">
        <v>22</v>
      </c>
      <c r="B48" s="16" t="s">
        <v>36</v>
      </c>
      <c r="C48" s="35">
        <v>63</v>
      </c>
      <c r="D48" s="47">
        <v>36</v>
      </c>
      <c r="E48" s="36" t="s">
        <v>52</v>
      </c>
      <c r="F48" s="34"/>
      <c r="G48" s="34"/>
      <c r="H48" s="34"/>
      <c r="I48" s="34"/>
      <c r="J48" s="34"/>
      <c r="K48" s="34"/>
      <c r="L48" s="34"/>
    </row>
    <row r="49" spans="1:12" ht="13.5">
      <c r="A49" s="10" t="s">
        <v>10</v>
      </c>
      <c r="B49" s="13" t="s">
        <v>10</v>
      </c>
      <c r="C49" s="35">
        <v>144</v>
      </c>
      <c r="D49" s="47">
        <v>52.2</v>
      </c>
      <c r="E49" s="34"/>
      <c r="F49" s="34"/>
      <c r="G49" s="34"/>
      <c r="H49" s="34"/>
      <c r="I49" s="34"/>
      <c r="J49" s="34"/>
      <c r="K49" s="34"/>
      <c r="L49" s="34"/>
    </row>
    <row r="50" spans="1:12" ht="13.5">
      <c r="A50" s="10" t="s">
        <v>12</v>
      </c>
      <c r="B50" s="16" t="s">
        <v>59</v>
      </c>
      <c r="C50" s="35">
        <v>7</v>
      </c>
      <c r="D50" s="47">
        <v>1.9</v>
      </c>
      <c r="E50" s="34"/>
      <c r="F50" s="34"/>
      <c r="G50" s="34"/>
      <c r="H50" s="34"/>
      <c r="I50" s="34"/>
      <c r="J50" s="34"/>
      <c r="K50" s="34"/>
      <c r="L50" s="34"/>
    </row>
    <row r="51" spans="1:12" ht="13.5">
      <c r="A51" s="10" t="s">
        <v>20</v>
      </c>
      <c r="B51" s="16" t="s">
        <v>26</v>
      </c>
      <c r="C51" s="35">
        <v>11</v>
      </c>
      <c r="D51" s="47">
        <v>58.1</v>
      </c>
      <c r="E51" s="36" t="s">
        <v>51</v>
      </c>
      <c r="F51" s="34"/>
      <c r="G51" s="34"/>
      <c r="H51" s="34"/>
      <c r="I51" s="34"/>
      <c r="J51" s="34"/>
      <c r="K51" s="34"/>
      <c r="L51" s="34"/>
    </row>
    <row r="52" spans="1:12" ht="13.5">
      <c r="A52" s="10" t="s">
        <v>67</v>
      </c>
      <c r="B52" s="11" t="s">
        <v>70</v>
      </c>
      <c r="C52" s="35">
        <v>207</v>
      </c>
      <c r="D52" s="47">
        <v>54.8</v>
      </c>
      <c r="E52" s="34"/>
      <c r="F52" s="34"/>
      <c r="G52" s="34"/>
      <c r="H52" s="34"/>
      <c r="I52" s="34"/>
      <c r="J52" s="34"/>
      <c r="K52" s="34"/>
      <c r="L52" s="34"/>
    </row>
    <row r="53" spans="1:12" ht="13.5">
      <c r="A53" s="10" t="s">
        <v>24</v>
      </c>
      <c r="B53" s="13" t="s">
        <v>0</v>
      </c>
      <c r="C53" s="35">
        <v>49.6083</v>
      </c>
      <c r="D53" s="47"/>
      <c r="E53" s="34"/>
      <c r="F53" s="34"/>
      <c r="G53" s="34"/>
      <c r="H53" s="34"/>
      <c r="I53" s="34"/>
      <c r="J53" s="34"/>
      <c r="K53" s="34"/>
      <c r="L53" s="34"/>
    </row>
    <row r="54" spans="1:12" ht="13.5">
      <c r="A54" s="10" t="s">
        <v>25</v>
      </c>
      <c r="B54" s="13" t="s">
        <v>1</v>
      </c>
      <c r="C54" s="35"/>
      <c r="D54" s="48"/>
      <c r="E54" s="34"/>
      <c r="F54" s="34"/>
      <c r="G54" s="34"/>
      <c r="H54" s="34"/>
      <c r="I54" s="34"/>
      <c r="J54" s="34"/>
      <c r="K54" s="34"/>
      <c r="L54" s="34"/>
    </row>
    <row r="55" spans="5:12" ht="12.75">
      <c r="E55" s="34"/>
      <c r="F55" s="34"/>
      <c r="G55" s="34"/>
      <c r="H55" s="34"/>
      <c r="I55" s="34"/>
      <c r="J55" s="34"/>
      <c r="K55" s="34"/>
      <c r="L55" s="34"/>
    </row>
    <row r="56" spans="5:12" ht="12.75">
      <c r="E56" s="34"/>
      <c r="F56" s="34"/>
      <c r="G56" s="34"/>
      <c r="H56" s="34"/>
      <c r="I56" s="34"/>
      <c r="J56" s="34"/>
      <c r="K56" s="34"/>
      <c r="L56" s="34"/>
    </row>
    <row r="57" spans="5:12" ht="12.75"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1" ht="13.5">
      <c r="A60" s="10" t="s">
        <v>24</v>
      </c>
      <c r="B60" s="11" t="s">
        <v>0</v>
      </c>
      <c r="C60" s="39">
        <f>C53+D53/60</f>
        <v>49.6083</v>
      </c>
      <c r="D60" s="34"/>
      <c r="E60" s="13" t="s">
        <v>11</v>
      </c>
      <c r="F60" s="40">
        <f>C41</f>
        <v>0.375</v>
      </c>
      <c r="G60" s="16" t="s">
        <v>64</v>
      </c>
      <c r="H60" s="44">
        <f>IF(E51="N",C51+D51/60,-(C51+D51/60))</f>
        <v>11.968333333333334</v>
      </c>
      <c r="I60" s="42"/>
      <c r="J60" s="43" t="s">
        <v>15</v>
      </c>
      <c r="K60" s="39">
        <f>SIN(RADIANS(H60))</f>
        <v>0.20737104904412085</v>
      </c>
    </row>
    <row r="61" spans="1:11" ht="13.5">
      <c r="A61" s="10" t="s">
        <v>25</v>
      </c>
      <c r="B61" s="11" t="s">
        <v>1</v>
      </c>
      <c r="C61" s="39">
        <f>C54+D54/60</f>
        <v>0</v>
      </c>
      <c r="D61" s="34"/>
      <c r="E61" s="13" t="s">
        <v>18</v>
      </c>
      <c r="F61" s="44">
        <f>C49+D49/60</f>
        <v>144.87</v>
      </c>
      <c r="G61" s="53"/>
      <c r="H61" s="54"/>
      <c r="I61" s="52"/>
      <c r="J61" s="43" t="s">
        <v>16</v>
      </c>
      <c r="K61" s="39">
        <f>COS(RADIANS(H60))*COS(RADIANS(F67))</f>
        <v>0.43213833886854</v>
      </c>
    </row>
    <row r="62" spans="1:11" ht="14.25" thickBot="1">
      <c r="A62" s="56" t="s">
        <v>29</v>
      </c>
      <c r="B62" s="77" t="s">
        <v>2</v>
      </c>
      <c r="C62" s="78">
        <f>0.0293*SQRT(C42)</f>
        <v>0.06808704722632639</v>
      </c>
      <c r="D62" s="34"/>
      <c r="E62" s="16" t="s">
        <v>59</v>
      </c>
      <c r="F62" s="44">
        <f>C50+D50/60</f>
        <v>7.031666666666666</v>
      </c>
      <c r="G62" s="55"/>
      <c r="H62" s="55"/>
      <c r="I62" s="52"/>
      <c r="J62" s="43" t="s">
        <v>17</v>
      </c>
      <c r="K62" s="39">
        <f>IF(E47="N",DEGREES(ASIN(K60*SIN(RADIANS(C47+D47/60))+K61*COS(RADIANS(C47+D47/60)))),DEGREES(ASIN(K60*SIN(RADIANS(-C47-D47/60))+K61*COS(RADIANS(-C47-D47/60)))))</f>
        <v>27.635243583415747</v>
      </c>
    </row>
    <row r="63" spans="1:11" ht="15" thickBot="1" thickTop="1">
      <c r="A63" s="79" t="s">
        <v>43</v>
      </c>
      <c r="B63" s="80" t="s">
        <v>3</v>
      </c>
      <c r="C63" s="81">
        <f>C60+C61-C62</f>
        <v>49.54021295277367</v>
      </c>
      <c r="D63" s="34"/>
      <c r="E63" s="64" t="s">
        <v>70</v>
      </c>
      <c r="F63" s="68">
        <f>C52+D52/60</f>
        <v>207.91333333333333</v>
      </c>
      <c r="G63" s="34"/>
      <c r="H63" s="34"/>
      <c r="I63" s="34"/>
      <c r="J63" s="34"/>
      <c r="K63" s="45"/>
    </row>
    <row r="64" spans="1:11" ht="14.25" thickTop="1">
      <c r="A64" s="60" t="s">
        <v>42</v>
      </c>
      <c r="B64" s="61" t="s">
        <v>5</v>
      </c>
      <c r="C64" s="62">
        <f>0.0167/TAN(RADIANS(C63+7.31/(C63+4.4)))</f>
        <v>0.014174794260641933</v>
      </c>
      <c r="D64" s="34"/>
      <c r="E64" s="66" t="s">
        <v>10</v>
      </c>
      <c r="F64" s="67">
        <f>F61+F62+F63</f>
        <v>359.815</v>
      </c>
      <c r="G64" s="34"/>
      <c r="H64" s="34"/>
      <c r="I64" s="34"/>
      <c r="J64" s="46" t="s">
        <v>53</v>
      </c>
      <c r="K64" s="39">
        <f>IF(E47="N",(K60*COS(RADIANS(C47+D47/60))-K61*SIN(RADIANS(C47+D47/60)))/COS(RADIANS(K62)),(K60*COS(RADIANS(-C47-D47/60))-K61*SIN(RADIANS(-C47-D47/60)))/COS(RADIANS(K62)))</f>
        <v>-0.1363795943446569</v>
      </c>
    </row>
    <row r="65" spans="1:11" ht="14.25" thickBot="1">
      <c r="A65" s="10" t="s">
        <v>41</v>
      </c>
      <c r="B65" s="11" t="s">
        <v>6</v>
      </c>
      <c r="C65" s="39">
        <f>0.28*C43/(C44+273)</f>
        <v>1.0183703703703706</v>
      </c>
      <c r="D65" s="34"/>
      <c r="E65" s="69" t="s">
        <v>13</v>
      </c>
      <c r="F65" s="68">
        <f>IF(E48="E",C48+D48/60,-(C48+D48/60))</f>
        <v>-63.6</v>
      </c>
      <c r="G65" s="34"/>
      <c r="H65" s="34"/>
      <c r="I65" s="34"/>
      <c r="J65" s="46" t="s">
        <v>54</v>
      </c>
      <c r="K65" s="39">
        <f>DEGREES(ACOS(K64))</f>
        <v>97.83840271044906</v>
      </c>
    </row>
    <row r="66" spans="1:11" ht="15" thickBot="1" thickTop="1">
      <c r="A66" s="63" t="s">
        <v>40</v>
      </c>
      <c r="B66" s="64" t="s">
        <v>44</v>
      </c>
      <c r="C66" s="65">
        <f>C65*C64</f>
        <v>0.014435190481133729</v>
      </c>
      <c r="D66" s="34"/>
      <c r="E66" s="66" t="s">
        <v>50</v>
      </c>
      <c r="F66" s="67">
        <f>F64+F65</f>
        <v>296.215</v>
      </c>
      <c r="G66" s="34"/>
      <c r="H66" s="34"/>
      <c r="I66" s="34"/>
      <c r="J66" s="46" t="s">
        <v>55</v>
      </c>
      <c r="K66" s="39">
        <f>IF(F67&gt;180,K65,360-K65)</f>
        <v>97.83840271044906</v>
      </c>
    </row>
    <row r="67" spans="1:12" ht="14.25" thickTop="1">
      <c r="A67" s="60" t="s">
        <v>45</v>
      </c>
      <c r="B67" s="61" t="s">
        <v>9</v>
      </c>
      <c r="C67" s="62">
        <f>C63-C66</f>
        <v>49.525777762292535</v>
      </c>
      <c r="D67" s="34"/>
      <c r="E67" s="13" t="s">
        <v>19</v>
      </c>
      <c r="F67" s="44">
        <f>IF(F66&lt;0,360+F66,F66)</f>
        <v>296.215</v>
      </c>
      <c r="G67" s="34"/>
      <c r="H67" s="34"/>
      <c r="I67" s="34"/>
      <c r="J67" s="34"/>
      <c r="K67" s="34"/>
      <c r="L67" s="34"/>
    </row>
    <row r="68" spans="4:12" ht="12.75">
      <c r="D68" s="34"/>
      <c r="E68" s="34"/>
      <c r="F68" s="34"/>
      <c r="G68" s="34"/>
      <c r="H68" s="34"/>
      <c r="I68" s="34"/>
      <c r="J68" s="34"/>
      <c r="K68" s="34"/>
      <c r="L68" s="34"/>
    </row>
    <row r="69" spans="4:12" ht="12.75"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8">
      <c r="A70" s="21" t="s">
        <v>56</v>
      </c>
      <c r="B70" s="22" t="s">
        <v>57</v>
      </c>
      <c r="C70" s="23">
        <f>(C67-K62)*60</f>
        <v>1313.4320507326072</v>
      </c>
      <c r="D70" s="38" t="s">
        <v>60</v>
      </c>
      <c r="E70" s="34"/>
      <c r="F70" s="34"/>
      <c r="G70" s="34"/>
      <c r="H70" s="34"/>
      <c r="I70" s="34"/>
      <c r="J70" s="34"/>
      <c r="K70" s="34"/>
      <c r="L70" s="34"/>
    </row>
    <row r="71" spans="1:12" ht="18">
      <c r="A71" s="21" t="s">
        <v>58</v>
      </c>
      <c r="B71" s="22" t="s">
        <v>55</v>
      </c>
      <c r="C71" s="23">
        <f>K66</f>
        <v>97.83840271044906</v>
      </c>
      <c r="D71" s="38" t="s">
        <v>61</v>
      </c>
      <c r="E71" s="34"/>
      <c r="F71" s="34"/>
      <c r="G71" s="34"/>
      <c r="H71" s="34"/>
      <c r="I71" s="34"/>
      <c r="J71" s="34"/>
      <c r="K71" s="34"/>
      <c r="L71" s="34"/>
    </row>
    <row r="72" spans="5:12" ht="12.75">
      <c r="E72" s="34"/>
      <c r="F72" s="34"/>
      <c r="G72" s="34"/>
      <c r="H72" s="34"/>
      <c r="I72" s="34"/>
      <c r="J72" s="34"/>
      <c r="K72" s="34"/>
      <c r="L72" s="34"/>
    </row>
    <row r="73" spans="5:12" ht="12.75"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9" spans="1:12" ht="30.75" customHeight="1">
      <c r="A79" s="4" t="s">
        <v>62</v>
      </c>
      <c r="B79" s="1"/>
      <c r="C79" s="33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3.5">
      <c r="A80" s="10" t="s">
        <v>11</v>
      </c>
      <c r="B80" s="13" t="s">
        <v>11</v>
      </c>
      <c r="C80" s="31">
        <v>0.375</v>
      </c>
      <c r="D80" s="19" t="s">
        <v>71</v>
      </c>
      <c r="E80" s="34"/>
      <c r="F80" s="34"/>
      <c r="G80" s="34"/>
      <c r="H80" s="34"/>
      <c r="I80" s="34"/>
      <c r="J80" s="34"/>
      <c r="K80" s="34"/>
      <c r="L80" s="34"/>
    </row>
    <row r="81" spans="1:12" ht="13.5">
      <c r="A81" s="10" t="s">
        <v>35</v>
      </c>
      <c r="B81" s="13" t="s">
        <v>30</v>
      </c>
      <c r="C81" s="35">
        <v>5.4</v>
      </c>
      <c r="D81" s="25" t="s">
        <v>47</v>
      </c>
      <c r="E81" s="34"/>
      <c r="F81" s="34"/>
      <c r="G81" s="34"/>
      <c r="H81" s="34"/>
      <c r="I81" s="34"/>
      <c r="J81" s="34"/>
      <c r="K81" s="34"/>
      <c r="L81" s="34"/>
    </row>
    <row r="82" spans="1:12" ht="13.5">
      <c r="A82" s="10" t="s">
        <v>34</v>
      </c>
      <c r="B82" s="13" t="s">
        <v>31</v>
      </c>
      <c r="C82" s="18">
        <v>982</v>
      </c>
      <c r="D82" s="25" t="s">
        <v>48</v>
      </c>
      <c r="E82" s="34"/>
      <c r="F82" s="34"/>
      <c r="G82" s="34"/>
      <c r="H82" s="34"/>
      <c r="I82" s="34"/>
      <c r="J82" s="34"/>
      <c r="K82" s="34"/>
      <c r="L82" s="34"/>
    </row>
    <row r="83" spans="1:12" ht="13.5">
      <c r="A83" s="10" t="s">
        <v>33</v>
      </c>
      <c r="B83" s="13" t="s">
        <v>32</v>
      </c>
      <c r="C83" s="35">
        <v>-3</v>
      </c>
      <c r="D83" s="25" t="s">
        <v>49</v>
      </c>
      <c r="E83" s="34"/>
      <c r="F83" s="34"/>
      <c r="G83" s="34"/>
      <c r="H83" s="34"/>
      <c r="I83" s="34"/>
      <c r="J83" s="34"/>
      <c r="K83" s="34"/>
      <c r="L83" s="34"/>
    </row>
    <row r="84" spans="1:12" ht="13.5">
      <c r="A84" s="6"/>
      <c r="B84" s="7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9.75" customHeight="1">
      <c r="A85" s="6"/>
      <c r="B85" s="1"/>
      <c r="C85" s="8" t="s">
        <v>28</v>
      </c>
      <c r="D85" s="8" t="s">
        <v>23</v>
      </c>
      <c r="E85" s="8"/>
      <c r="F85" s="34"/>
      <c r="G85" s="34"/>
      <c r="H85" s="34"/>
      <c r="I85" s="34"/>
      <c r="J85" s="34"/>
      <c r="K85" s="34"/>
      <c r="L85" s="34"/>
    </row>
    <row r="86" spans="1:12" ht="13.5">
      <c r="A86" s="10" t="s">
        <v>21</v>
      </c>
      <c r="B86" s="16" t="s">
        <v>37</v>
      </c>
      <c r="C86" s="35">
        <v>40</v>
      </c>
      <c r="D86" s="47">
        <v>14.1</v>
      </c>
      <c r="E86" s="37" t="s">
        <v>51</v>
      </c>
      <c r="F86" s="34"/>
      <c r="G86" s="34"/>
      <c r="H86" s="34"/>
      <c r="I86" s="34"/>
      <c r="J86" s="34"/>
      <c r="K86" s="34"/>
      <c r="L86" s="34"/>
    </row>
    <row r="87" spans="1:12" ht="13.5">
      <c r="A87" s="10" t="s">
        <v>22</v>
      </c>
      <c r="B87" s="16" t="s">
        <v>36</v>
      </c>
      <c r="C87" s="35">
        <v>63</v>
      </c>
      <c r="D87" s="47">
        <v>36</v>
      </c>
      <c r="E87" s="36" t="s">
        <v>52</v>
      </c>
      <c r="F87" s="34"/>
      <c r="G87" s="34"/>
      <c r="H87" s="34"/>
      <c r="I87" s="34"/>
      <c r="J87" s="34"/>
      <c r="K87" s="34"/>
      <c r="L87" s="34"/>
    </row>
    <row r="88" spans="1:12" ht="13.5">
      <c r="A88" s="10" t="s">
        <v>10</v>
      </c>
      <c r="B88" s="13" t="s">
        <v>10</v>
      </c>
      <c r="C88" s="35">
        <v>144</v>
      </c>
      <c r="D88" s="47">
        <v>52.2</v>
      </c>
      <c r="E88" s="34"/>
      <c r="F88" s="34"/>
      <c r="G88" s="34"/>
      <c r="H88" s="34"/>
      <c r="I88" s="34"/>
      <c r="J88" s="34"/>
      <c r="K88" s="34"/>
      <c r="L88" s="34"/>
    </row>
    <row r="89" spans="1:12" ht="13.5">
      <c r="A89" s="10" t="s">
        <v>12</v>
      </c>
      <c r="B89" s="16" t="s">
        <v>59</v>
      </c>
      <c r="C89" s="35">
        <v>7</v>
      </c>
      <c r="D89" s="47">
        <v>1.9</v>
      </c>
      <c r="E89" s="34"/>
      <c r="F89" s="34"/>
      <c r="G89" s="34"/>
      <c r="H89" s="34"/>
      <c r="I89" s="34"/>
      <c r="J89" s="34"/>
      <c r="K89" s="34"/>
      <c r="L89" s="34"/>
    </row>
    <row r="90" spans="1:12" ht="13.5">
      <c r="A90" s="10" t="s">
        <v>20</v>
      </c>
      <c r="B90" s="16" t="s">
        <v>26</v>
      </c>
      <c r="C90" s="35">
        <v>11</v>
      </c>
      <c r="D90" s="47">
        <v>58.1</v>
      </c>
      <c r="E90" s="36" t="s">
        <v>51</v>
      </c>
      <c r="F90" s="34"/>
      <c r="G90" s="34"/>
      <c r="H90" s="34"/>
      <c r="I90" s="34"/>
      <c r="J90" s="34"/>
      <c r="K90" s="34"/>
      <c r="L90" s="34"/>
    </row>
    <row r="91" spans="1:12" ht="13.5">
      <c r="A91" s="10" t="s">
        <v>67</v>
      </c>
      <c r="B91" s="11" t="s">
        <v>70</v>
      </c>
      <c r="C91" s="35">
        <v>207</v>
      </c>
      <c r="D91" s="47">
        <v>54.8</v>
      </c>
      <c r="E91" s="34"/>
      <c r="F91" s="34"/>
      <c r="G91" s="34"/>
      <c r="H91" s="34"/>
      <c r="I91" s="34"/>
      <c r="J91" s="34"/>
      <c r="K91" s="34"/>
      <c r="L91" s="34"/>
    </row>
    <row r="92" spans="1:12" ht="13.5">
      <c r="A92" s="10" t="s">
        <v>24</v>
      </c>
      <c r="B92" s="13" t="s">
        <v>0</v>
      </c>
      <c r="C92" s="35">
        <v>49.6083</v>
      </c>
      <c r="D92" s="47"/>
      <c r="E92" s="34"/>
      <c r="F92" s="34"/>
      <c r="G92" s="34"/>
      <c r="H92" s="34"/>
      <c r="I92" s="34"/>
      <c r="J92" s="34"/>
      <c r="K92" s="34"/>
      <c r="L92" s="34"/>
    </row>
    <row r="93" spans="1:12" ht="13.5">
      <c r="A93" s="10" t="s">
        <v>25</v>
      </c>
      <c r="B93" s="13" t="s">
        <v>1</v>
      </c>
      <c r="C93" s="35"/>
      <c r="D93" s="48"/>
      <c r="E93" s="34"/>
      <c r="F93" s="34"/>
      <c r="G93" s="34"/>
      <c r="H93" s="34"/>
      <c r="I93" s="34"/>
      <c r="J93" s="34"/>
      <c r="K93" s="34"/>
      <c r="L93" s="34"/>
    </row>
    <row r="94" spans="5:12" ht="12.75">
      <c r="E94" s="34"/>
      <c r="F94" s="34"/>
      <c r="G94" s="34"/>
      <c r="H94" s="34"/>
      <c r="I94" s="34"/>
      <c r="J94" s="34"/>
      <c r="K94" s="34"/>
      <c r="L94" s="34"/>
    </row>
    <row r="95" spans="5:12" ht="12.75">
      <c r="E95" s="34"/>
      <c r="F95" s="34"/>
      <c r="G95" s="34"/>
      <c r="H95" s="34"/>
      <c r="I95" s="34"/>
      <c r="J95" s="34"/>
      <c r="K95" s="34"/>
      <c r="L95" s="34"/>
    </row>
    <row r="96" spans="5:12" ht="12.75"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1" ht="13.5">
      <c r="A99" s="10" t="s">
        <v>24</v>
      </c>
      <c r="B99" s="11" t="s">
        <v>0</v>
      </c>
      <c r="C99" s="39">
        <f>C92+D92/60</f>
        <v>49.6083</v>
      </c>
      <c r="D99" s="34"/>
      <c r="E99" s="13" t="s">
        <v>11</v>
      </c>
      <c r="F99" s="40">
        <f>C80</f>
        <v>0.375</v>
      </c>
      <c r="G99" s="16" t="s">
        <v>64</v>
      </c>
      <c r="H99" s="44">
        <f>IF(E90="N",C90+D90/60,-(C90+D90/60))</f>
        <v>11.968333333333334</v>
      </c>
      <c r="I99" s="42"/>
      <c r="J99" s="43" t="s">
        <v>15</v>
      </c>
      <c r="K99" s="39">
        <f>SIN(RADIANS(H99))</f>
        <v>0.20737104904412085</v>
      </c>
    </row>
    <row r="100" spans="1:11" ht="13.5">
      <c r="A100" s="10" t="s">
        <v>25</v>
      </c>
      <c r="B100" s="11" t="s">
        <v>1</v>
      </c>
      <c r="C100" s="39">
        <f>C93+D93/60</f>
        <v>0</v>
      </c>
      <c r="D100" s="34"/>
      <c r="E100" s="13" t="s">
        <v>18</v>
      </c>
      <c r="F100" s="44">
        <f>C88+D88/60</f>
        <v>144.87</v>
      </c>
      <c r="G100" s="53"/>
      <c r="H100" s="54"/>
      <c r="I100" s="52"/>
      <c r="J100" s="43" t="s">
        <v>16</v>
      </c>
      <c r="K100" s="39">
        <f>COS(RADIANS(H99))*COS(RADIANS(F106))</f>
        <v>0.43213833886854</v>
      </c>
    </row>
    <row r="101" spans="1:11" ht="14.25" thickBot="1">
      <c r="A101" s="56" t="s">
        <v>29</v>
      </c>
      <c r="B101" s="77" t="s">
        <v>2</v>
      </c>
      <c r="C101" s="78">
        <f>0.0293*SQRT(C81)</f>
        <v>0.06808704722632639</v>
      </c>
      <c r="D101" s="34"/>
      <c r="E101" s="16" t="s">
        <v>59</v>
      </c>
      <c r="F101" s="44">
        <f>C89+D89/60</f>
        <v>7.031666666666666</v>
      </c>
      <c r="G101" s="55"/>
      <c r="H101" s="55"/>
      <c r="I101" s="52"/>
      <c r="J101" s="43" t="s">
        <v>17</v>
      </c>
      <c r="K101" s="39">
        <f>IF(E86="N",DEGREES(ASIN(K99*SIN(RADIANS(C86+D86/60))+K100*COS(RADIANS(C86+D86/60)))),DEGREES(ASIN(K99*SIN(RADIANS(-C86-D86/60))+K100*COS(RADIANS(-C86-D86/60)))))</f>
        <v>27.635243583415747</v>
      </c>
    </row>
    <row r="102" spans="1:11" ht="15" thickBot="1" thickTop="1">
      <c r="A102" s="79" t="s">
        <v>43</v>
      </c>
      <c r="B102" s="80" t="s">
        <v>3</v>
      </c>
      <c r="C102" s="81">
        <f>C99+C100-C101</f>
        <v>49.54021295277367</v>
      </c>
      <c r="D102" s="34"/>
      <c r="E102" s="64" t="s">
        <v>70</v>
      </c>
      <c r="F102" s="68">
        <f>C91+D91/60</f>
        <v>207.91333333333333</v>
      </c>
      <c r="G102" s="34"/>
      <c r="H102" s="34"/>
      <c r="I102" s="34"/>
      <c r="J102" s="34"/>
      <c r="K102" s="45"/>
    </row>
    <row r="103" spans="1:11" ht="14.25" thickTop="1">
      <c r="A103" s="60" t="s">
        <v>42</v>
      </c>
      <c r="B103" s="61" t="s">
        <v>5</v>
      </c>
      <c r="C103" s="62">
        <f>0.0167/TAN(RADIANS(C102+7.31/(C102+4.4)))</f>
        <v>0.014174794260641933</v>
      </c>
      <c r="D103" s="34"/>
      <c r="E103" s="66" t="s">
        <v>10</v>
      </c>
      <c r="F103" s="67">
        <f>F100+F101+F102</f>
        <v>359.815</v>
      </c>
      <c r="G103" s="34"/>
      <c r="H103" s="34"/>
      <c r="I103" s="34"/>
      <c r="J103" s="46" t="s">
        <v>53</v>
      </c>
      <c r="K103" s="39">
        <f>IF(E86="N",(K99*COS(RADIANS(C86+D86/60))-K100*SIN(RADIANS(C86+D86/60)))/COS(RADIANS(K101)),(K99*COS(RADIANS(-C86-D86/60))-K100*SIN(RADIANS(-C86-D86/60)))/COS(RADIANS(K101)))</f>
        <v>-0.1363795943446569</v>
      </c>
    </row>
    <row r="104" spans="1:11" ht="14.25" thickBot="1">
      <c r="A104" s="10" t="s">
        <v>41</v>
      </c>
      <c r="B104" s="11" t="s">
        <v>6</v>
      </c>
      <c r="C104" s="39">
        <f>0.28*C82/(C83+273)</f>
        <v>1.0183703703703706</v>
      </c>
      <c r="D104" s="34"/>
      <c r="E104" s="69" t="s">
        <v>13</v>
      </c>
      <c r="F104" s="68">
        <f>IF(E87="E",C87+D87/60,-(C87+D87/60))</f>
        <v>-63.6</v>
      </c>
      <c r="G104" s="34"/>
      <c r="H104" s="34"/>
      <c r="I104" s="34"/>
      <c r="J104" s="46" t="s">
        <v>54</v>
      </c>
      <c r="K104" s="39">
        <f>DEGREES(ACOS(K103))</f>
        <v>97.83840271044906</v>
      </c>
    </row>
    <row r="105" spans="1:11" ht="15" thickBot="1" thickTop="1">
      <c r="A105" s="63" t="s">
        <v>40</v>
      </c>
      <c r="B105" s="64" t="s">
        <v>44</v>
      </c>
      <c r="C105" s="65">
        <f>C104*C103</f>
        <v>0.014435190481133729</v>
      </c>
      <c r="D105" s="34"/>
      <c r="E105" s="66" t="s">
        <v>50</v>
      </c>
      <c r="F105" s="67">
        <f>F103+F104</f>
        <v>296.215</v>
      </c>
      <c r="G105" s="34"/>
      <c r="H105" s="34"/>
      <c r="I105" s="34"/>
      <c r="J105" s="46" t="s">
        <v>55</v>
      </c>
      <c r="K105" s="39">
        <f>IF(F106&gt;180,K104,360-K104)</f>
        <v>97.83840271044906</v>
      </c>
    </row>
    <row r="106" spans="1:12" ht="14.25" thickTop="1">
      <c r="A106" s="60" t="s">
        <v>45</v>
      </c>
      <c r="B106" s="61" t="s">
        <v>9</v>
      </c>
      <c r="C106" s="62">
        <f>C102-C105</f>
        <v>49.525777762292535</v>
      </c>
      <c r="D106" s="34"/>
      <c r="E106" s="13" t="s">
        <v>19</v>
      </c>
      <c r="F106" s="44">
        <f>IF(F105&lt;0,360+F105,F105)</f>
        <v>296.215</v>
      </c>
      <c r="G106" s="34"/>
      <c r="H106" s="34"/>
      <c r="I106" s="34"/>
      <c r="J106" s="34"/>
      <c r="K106" s="34"/>
      <c r="L106" s="34"/>
    </row>
    <row r="107" spans="4:12" ht="12.75"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4:12" ht="12.75"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8">
      <c r="A109" s="21" t="s">
        <v>56</v>
      </c>
      <c r="B109" s="22" t="s">
        <v>57</v>
      </c>
      <c r="C109" s="23">
        <f>(C106-K101)*60</f>
        <v>1313.4320507326072</v>
      </c>
      <c r="D109" s="38" t="s">
        <v>60</v>
      </c>
      <c r="E109" s="34"/>
      <c r="F109" s="34"/>
      <c r="G109" s="34"/>
      <c r="H109" s="34"/>
      <c r="I109" s="34"/>
      <c r="J109" s="34"/>
      <c r="K109" s="34"/>
      <c r="L109" s="34"/>
    </row>
    <row r="110" spans="1:12" ht="18">
      <c r="A110" s="21" t="s">
        <v>58</v>
      </c>
      <c r="B110" s="22" t="s">
        <v>55</v>
      </c>
      <c r="C110" s="23">
        <f>K105</f>
        <v>97.83840271044906</v>
      </c>
      <c r="D110" s="38" t="s">
        <v>61</v>
      </c>
      <c r="E110" s="34"/>
      <c r="F110" s="34"/>
      <c r="G110" s="34"/>
      <c r="H110" s="34"/>
      <c r="I110" s="34"/>
      <c r="J110" s="34"/>
      <c r="K110" s="34"/>
      <c r="L110" s="34"/>
    </row>
    <row r="111" spans="5:12" ht="12.75">
      <c r="E111" s="34"/>
      <c r="F111" s="34"/>
      <c r="G111" s="34"/>
      <c r="H111" s="34"/>
      <c r="I111" s="34"/>
      <c r="J111" s="34"/>
      <c r="K111" s="34"/>
      <c r="L111" s="34"/>
    </row>
    <row r="112" spans="5:12" ht="12.75"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</sheetData>
  <printOptions/>
  <pageMargins left="0.75" right="0.25" top="0.5" bottom="0.5" header="0.5" footer="0.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Acomarit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Shalimov</dc:creator>
  <cp:keywords/>
  <dc:description/>
  <cp:lastModifiedBy>abc</cp:lastModifiedBy>
  <cp:lastPrinted>2003-11-02T08:53:29Z</cp:lastPrinted>
  <dcterms:created xsi:type="dcterms:W3CDTF">1999-02-16T06:42:35Z</dcterms:created>
  <dcterms:modified xsi:type="dcterms:W3CDTF">2003-11-02T08:53:43Z</dcterms:modified>
  <cp:category/>
  <cp:version/>
  <cp:contentType/>
  <cp:contentStatus/>
</cp:coreProperties>
</file>