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85" windowHeight="6540" tabRatio="599" firstSheet="1" activeTab="4"/>
  </bookViews>
  <sheets>
    <sheet name="Sun position" sheetId="1" r:id="rId1"/>
    <sheet name="Sun" sheetId="2" r:id="rId2"/>
    <sheet name="Calc." sheetId="3" r:id="rId3"/>
    <sheet name="Stars position" sheetId="4" r:id="rId4"/>
    <sheet name="Stars" sheetId="5" r:id="rId5"/>
  </sheets>
  <definedNames>
    <definedName name="_xlnm.Print_Area" localSheetId="4">'Stars'!$CW$2:$DG$78</definedName>
    <definedName name="_xlnm.Print_Area" localSheetId="1">'Sun'!$BW$4:$CG$80</definedName>
  </definedNames>
  <calcPr fullCalcOnLoad="1"/>
</workbook>
</file>

<file path=xl/comments2.xml><?xml version="1.0" encoding="utf-8"?>
<comments xmlns="http://schemas.openxmlformats.org/spreadsheetml/2006/main">
  <authors>
    <author>Malene Sif</author>
  </authors>
  <commentList>
    <comment ref="Z5" authorId="0">
      <text>
        <r>
          <rPr>
            <b/>
            <sz val="8"/>
            <rFont val="Tahoma"/>
            <family val="0"/>
          </rPr>
          <t>Tab. H of Sun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b/>
            <sz val="8"/>
            <rFont val="Tahoma"/>
            <family val="0"/>
          </rPr>
          <t>True Azimut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<sst xmlns="http://schemas.openxmlformats.org/spreadsheetml/2006/main" count="1612" uniqueCount="410">
  <si>
    <t>Enter:</t>
  </si>
  <si>
    <t>Grendweech Date:</t>
  </si>
  <si>
    <t>Grendweech Time:</t>
  </si>
  <si>
    <t>G Date</t>
  </si>
  <si>
    <t>GMT</t>
  </si>
  <si>
    <t>Delta Tg</t>
  </si>
  <si>
    <t>Checking gross year</t>
  </si>
  <si>
    <t>D</t>
  </si>
  <si>
    <t>S (year 1981)</t>
  </si>
  <si>
    <t>Correction (Delta Tg)</t>
  </si>
  <si>
    <t>-</t>
  </si>
  <si>
    <t xml:space="preserve">- </t>
  </si>
  <si>
    <r>
      <t>t (</t>
    </r>
    <r>
      <rPr>
        <sz val="10"/>
        <rFont val="Arial"/>
        <family val="2"/>
      </rPr>
      <t>Sun)</t>
    </r>
  </si>
  <si>
    <r>
      <t>Dt (</t>
    </r>
    <r>
      <rPr>
        <sz val="10"/>
        <rFont val="Arial"/>
        <family val="2"/>
      </rPr>
      <t>Sun)</t>
    </r>
  </si>
  <si>
    <t xml:space="preserve">              Year</t>
  </si>
  <si>
    <t xml:space="preserve">           January</t>
  </si>
  <si>
    <t xml:space="preserve">              April</t>
  </si>
  <si>
    <t xml:space="preserve">            March</t>
  </si>
  <si>
    <t xml:space="preserve">          February</t>
  </si>
  <si>
    <t xml:space="preserve">               May</t>
  </si>
  <si>
    <t xml:space="preserve">               June</t>
  </si>
  <si>
    <t xml:space="preserve">               July</t>
  </si>
  <si>
    <t xml:space="preserve">              August</t>
  </si>
  <si>
    <t xml:space="preserve">         September</t>
  </si>
  <si>
    <t xml:space="preserve">           October</t>
  </si>
  <si>
    <t xml:space="preserve">          November</t>
  </si>
  <si>
    <t xml:space="preserve">         December</t>
  </si>
  <si>
    <r>
      <t xml:space="preserve">t </t>
    </r>
    <r>
      <rPr>
        <vertAlign val="subscript"/>
        <sz val="10"/>
        <rFont val="Arial"/>
        <family val="2"/>
      </rPr>
      <t>т</t>
    </r>
    <r>
      <rPr>
        <sz val="10"/>
        <rFont val="Symbol"/>
        <family val="1"/>
      </rPr>
      <t>(</t>
    </r>
    <r>
      <rPr>
        <sz val="10"/>
        <rFont val="Arial"/>
        <family val="2"/>
      </rPr>
      <t>Sun)</t>
    </r>
  </si>
  <si>
    <r>
      <t>D</t>
    </r>
    <r>
      <rPr>
        <vertAlign val="subscript"/>
        <sz val="10"/>
        <rFont val="Arial Cyr"/>
        <family val="2"/>
      </rPr>
      <t>т</t>
    </r>
  </si>
  <si>
    <t>S (year inserted)</t>
  </si>
  <si>
    <r>
      <t>d (</t>
    </r>
    <r>
      <rPr>
        <sz val="10"/>
        <rFont val="Arial"/>
        <family val="2"/>
      </rPr>
      <t>Sun)</t>
    </r>
  </si>
  <si>
    <t>Latitude:</t>
  </si>
  <si>
    <t>Longitude</t>
  </si>
  <si>
    <t>Longitude:</t>
  </si>
  <si>
    <t>W</t>
  </si>
  <si>
    <t>simple</t>
  </si>
  <si>
    <t>gross</t>
  </si>
  <si>
    <t>Latitude</t>
  </si>
  <si>
    <t>LHA (Sun)</t>
  </si>
  <si>
    <t>LHA (Aries)</t>
  </si>
  <si>
    <t>Sg = GHA (Aries)</t>
  </si>
  <si>
    <t>GHA (Sun)</t>
  </si>
  <si>
    <t>A (Sun)</t>
  </si>
  <si>
    <r>
      <t xml:space="preserve">tg </t>
    </r>
    <r>
      <rPr>
        <sz val="10"/>
        <rFont val="Symbol"/>
        <family val="1"/>
      </rPr>
      <t>d</t>
    </r>
  </si>
  <si>
    <r>
      <t xml:space="preserve">tg </t>
    </r>
    <r>
      <rPr>
        <sz val="10"/>
        <rFont val="Symbol"/>
        <family val="1"/>
      </rPr>
      <t>j</t>
    </r>
  </si>
  <si>
    <r>
      <t xml:space="preserve">cos </t>
    </r>
    <r>
      <rPr>
        <sz val="10"/>
        <rFont val="Symbol"/>
        <family val="1"/>
      </rPr>
      <t>j</t>
    </r>
  </si>
  <si>
    <t>1-я линия положения по Солнцу</t>
  </si>
  <si>
    <t>2-я линия положения по Солнцу</t>
  </si>
  <si>
    <t>ГКП (Sun):</t>
  </si>
  <si>
    <t>i+s:</t>
  </si>
  <si>
    <t>N</t>
  </si>
  <si>
    <t>Gyro Error</t>
  </si>
  <si>
    <t>x</t>
  </si>
  <si>
    <t>- часы и доли часов расчетных суток</t>
  </si>
  <si>
    <t>- часы и доли часов расчетных суток, переведенные в градусы</t>
  </si>
  <si>
    <t>- сутки и доли суток расчетного месяца</t>
  </si>
  <si>
    <t>- поправка к "G Date" в долях суток</t>
  </si>
  <si>
    <t>- проверка на високосный год</t>
  </si>
  <si>
    <t>- расчетные сутки и доли суток расчетного месяца</t>
  </si>
  <si>
    <t>°</t>
  </si>
  <si>
    <t>- звездное время на 1981 год</t>
  </si>
  <si>
    <t>- звездное время на расчетный год</t>
  </si>
  <si>
    <t xml:space="preserve">- поправка к табличному значению звездного дополнения </t>
  </si>
  <si>
    <t>- табличное значение звездного дополнения на ближайшую меньшую дату 1981 года</t>
  </si>
  <si>
    <t>- ближайшая меньшая дата</t>
  </si>
  <si>
    <t>day</t>
  </si>
  <si>
    <t>- переведенная в градусы и доли градуса широта</t>
  </si>
  <si>
    <t>- переведенная в градусы и доли градуса долгота</t>
  </si>
  <si>
    <t>- значение звездного дополнения на расчетную дату расчетного года</t>
  </si>
  <si>
    <t>hrs</t>
  </si>
  <si>
    <t>deg</t>
  </si>
  <si>
    <t>days</t>
  </si>
  <si>
    <t>- расчетный местный часовой угол Солнца</t>
  </si>
  <si>
    <t>- практический местный часовой угол Солнца</t>
  </si>
  <si>
    <t>h изм.:</t>
  </si>
  <si>
    <t>- расчетный азимут Солнца</t>
  </si>
  <si>
    <t>- расчетная высота Солнца</t>
  </si>
  <si>
    <t>- склонение Солнца</t>
  </si>
  <si>
    <t>- местный часовой угол точки Овна (местное Звездное время)</t>
  </si>
  <si>
    <r>
      <t>h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2"/>
      </rPr>
      <t xml:space="preserve"> (Sun)</t>
    </r>
  </si>
  <si>
    <t>- обсервованная высота Солнца</t>
  </si>
  <si>
    <r>
      <t>_ h</t>
    </r>
    <r>
      <rPr>
        <vertAlign val="subscript"/>
        <sz val="10"/>
        <rFont val="Arial Cyr"/>
        <family val="2"/>
      </rPr>
      <t>o</t>
    </r>
    <r>
      <rPr>
        <sz val="10"/>
        <rFont val="Arial Cyr"/>
        <family val="2"/>
      </rPr>
      <t xml:space="preserve"> (Sun)</t>
    </r>
  </si>
  <si>
    <t>n</t>
  </si>
  <si>
    <t>- перенос линии положения</t>
  </si>
  <si>
    <t>- расчет азимута Солнца по формуле котангенсов</t>
  </si>
  <si>
    <t>3-я линия положения по Солнцу</t>
  </si>
  <si>
    <t>Построение линий положения на осях координат:</t>
  </si>
  <si>
    <r>
      <t xml:space="preserve">tg </t>
    </r>
    <r>
      <rPr>
        <sz val="10"/>
        <rFont val="Symbol"/>
        <family val="1"/>
      </rPr>
      <t>a</t>
    </r>
    <r>
      <rPr>
        <sz val="10"/>
        <rFont val="Arial Cyr"/>
        <family val="2"/>
      </rPr>
      <t xml:space="preserve"> =</t>
    </r>
  </si>
  <si>
    <r>
      <t xml:space="preserve">Уравнение прямой азимута вида: tg </t>
    </r>
    <r>
      <rPr>
        <sz val="10"/>
        <rFont val="Symbol"/>
        <family val="1"/>
      </rPr>
      <t>aЧ</t>
    </r>
    <r>
      <rPr>
        <sz val="10"/>
        <rFont val="Arial Cyr"/>
        <family val="2"/>
      </rPr>
      <t>x</t>
    </r>
  </si>
  <si>
    <t>Линия положения 1</t>
  </si>
  <si>
    <r>
      <t xml:space="preserve">Уравнение линии положения вида: tg </t>
    </r>
    <r>
      <rPr>
        <sz val="10"/>
        <rFont val="Symbol"/>
        <family val="1"/>
      </rPr>
      <t>aЧ</t>
    </r>
    <r>
      <rPr>
        <sz val="10"/>
        <rFont val="Arial Cyr"/>
        <family val="2"/>
      </rPr>
      <t>x + b</t>
    </r>
  </si>
  <si>
    <t>A =</t>
  </si>
  <si>
    <t>n =</t>
  </si>
  <si>
    <t xml:space="preserve">     b =</t>
  </si>
  <si>
    <t>y (А)</t>
  </si>
  <si>
    <t>y (л.п.)</t>
  </si>
  <si>
    <t>Линия положения 2</t>
  </si>
  <si>
    <t>Линия положения 3</t>
  </si>
  <si>
    <t>Расчет места судна по 2-м линиям положения:</t>
  </si>
  <si>
    <r>
      <t xml:space="preserve">         Dj</t>
    </r>
    <r>
      <rPr>
        <sz val="10"/>
        <rFont val="Arial Cyr"/>
        <family val="2"/>
      </rPr>
      <t xml:space="preserve"> =</t>
    </r>
  </si>
  <si>
    <r>
      <t>l</t>
    </r>
    <r>
      <rPr>
        <sz val="10"/>
        <rFont val="Arial Cyr"/>
        <family val="2"/>
      </rPr>
      <t xml:space="preserve"> =</t>
    </r>
  </si>
  <si>
    <r>
      <t>j</t>
    </r>
    <r>
      <rPr>
        <sz val="10"/>
        <rFont val="Arial Cyr"/>
        <family val="2"/>
      </rPr>
      <t xml:space="preserve"> =</t>
    </r>
  </si>
  <si>
    <t>j</t>
  </si>
  <si>
    <t>l</t>
  </si>
  <si>
    <t>Расчет места судна по 3-м линиям положения:</t>
  </si>
  <si>
    <t>A1-A2</t>
  </si>
  <si>
    <t>A2-A3</t>
  </si>
  <si>
    <t>A1-A3</t>
  </si>
  <si>
    <t>лп 1-2:</t>
  </si>
  <si>
    <t>лп 2-3:</t>
  </si>
  <si>
    <t>лп 1-3:</t>
  </si>
  <si>
    <t>q1</t>
  </si>
  <si>
    <t>q2</t>
  </si>
  <si>
    <t>q3</t>
  </si>
  <si>
    <r>
      <t>e</t>
    </r>
    <r>
      <rPr>
        <sz val="10"/>
        <rFont val="Arial Cyr"/>
        <family val="2"/>
      </rPr>
      <t>h=</t>
    </r>
  </si>
  <si>
    <r>
      <t>D</t>
    </r>
    <r>
      <rPr>
        <sz val="10"/>
        <rFont val="Arial Cyr"/>
        <family val="2"/>
      </rPr>
      <t>T2=</t>
    </r>
  </si>
  <si>
    <r>
      <t>D</t>
    </r>
    <r>
      <rPr>
        <sz val="10"/>
        <rFont val="Arial Cyr"/>
        <family val="2"/>
      </rPr>
      <t>T1=</t>
    </r>
  </si>
  <si>
    <r>
      <t>s</t>
    </r>
    <r>
      <rPr>
        <sz val="10"/>
        <rFont val="Arial Cyr"/>
        <family val="2"/>
      </rPr>
      <t>h=</t>
    </r>
  </si>
  <si>
    <t>Kc=</t>
  </si>
  <si>
    <t>M1</t>
  </si>
  <si>
    <t>M3</t>
  </si>
  <si>
    <t>M2</t>
  </si>
  <si>
    <t>P 1</t>
  </si>
  <si>
    <t>P2</t>
  </si>
  <si>
    <t>P3</t>
  </si>
  <si>
    <r>
      <t xml:space="preserve">q1 </t>
    </r>
    <r>
      <rPr>
        <sz val="10"/>
        <rFont val="Arial Cyr"/>
        <family val="2"/>
      </rPr>
      <t>min</t>
    </r>
  </si>
  <si>
    <r>
      <t xml:space="preserve">q2 </t>
    </r>
    <r>
      <rPr>
        <sz val="10"/>
        <rFont val="Arial Cyr"/>
        <family val="2"/>
      </rPr>
      <t>min</t>
    </r>
  </si>
  <si>
    <r>
      <t xml:space="preserve">q3 </t>
    </r>
    <r>
      <rPr>
        <sz val="10"/>
        <rFont val="Arial Cyr"/>
        <family val="2"/>
      </rPr>
      <t>min</t>
    </r>
  </si>
  <si>
    <t>X1</t>
  </si>
  <si>
    <t>Y1</t>
  </si>
  <si>
    <t>X2</t>
  </si>
  <si>
    <t>X3</t>
  </si>
  <si>
    <t>Y2</t>
  </si>
  <si>
    <t>Y3</t>
  </si>
  <si>
    <t>линия P1-P2</t>
  </si>
  <si>
    <t>линия P1-P*</t>
  </si>
  <si>
    <t>линия P*-P2</t>
  </si>
  <si>
    <t xml:space="preserve">Точка P*:     </t>
  </si>
  <si>
    <t>X*</t>
  </si>
  <si>
    <t>Y*</t>
  </si>
  <si>
    <t xml:space="preserve">Точка P**:    </t>
  </si>
  <si>
    <t>линия P*-P**</t>
  </si>
  <si>
    <t>линия P*-P3</t>
  </si>
  <si>
    <t>линия P**-P3</t>
  </si>
  <si>
    <t>X**</t>
  </si>
  <si>
    <t>Y**</t>
  </si>
  <si>
    <t>P*</t>
  </si>
  <si>
    <r>
      <t xml:space="preserve">X* = </t>
    </r>
    <r>
      <rPr>
        <sz val="10"/>
        <rFont val="Symbol"/>
        <family val="1"/>
      </rPr>
      <t>Dl</t>
    </r>
    <r>
      <rPr>
        <sz val="10"/>
        <rFont val="Arial Cyr"/>
        <family val="2"/>
      </rPr>
      <t xml:space="preserve"> =</t>
    </r>
  </si>
  <si>
    <r>
      <t xml:space="preserve">         </t>
    </r>
    <r>
      <rPr>
        <sz val="10"/>
        <rFont val="Arial Cyr"/>
        <family val="2"/>
      </rPr>
      <t>Y* =</t>
    </r>
  </si>
  <si>
    <t>P***</t>
  </si>
  <si>
    <t>Позиция на прокладке:</t>
  </si>
  <si>
    <t>X =</t>
  </si>
  <si>
    <t>Y =</t>
  </si>
  <si>
    <t>№ МАЕ</t>
  </si>
  <si>
    <t>Величина</t>
  </si>
  <si>
    <t>t *</t>
  </si>
  <si>
    <t>Dt *</t>
  </si>
  <si>
    <t>d *</t>
  </si>
  <si>
    <t>Dd *</t>
  </si>
  <si>
    <t xml:space="preserve">  Собственное имя</t>
  </si>
  <si>
    <r>
      <t xml:space="preserve">  a  </t>
    </r>
    <r>
      <rPr>
        <sz val="10"/>
        <rFont val="Arial"/>
        <family val="2"/>
      </rPr>
      <t>Андромеды</t>
    </r>
  </si>
  <si>
    <r>
      <t xml:space="preserve">  b  </t>
    </r>
    <r>
      <rPr>
        <sz val="10"/>
        <rFont val="Arial"/>
        <family val="2"/>
      </rPr>
      <t>Кассиопеи</t>
    </r>
  </si>
  <si>
    <r>
      <t xml:space="preserve">  b  </t>
    </r>
    <r>
      <rPr>
        <sz val="10"/>
        <rFont val="Arial"/>
        <family val="2"/>
      </rPr>
      <t>Кита</t>
    </r>
  </si>
  <si>
    <r>
      <t xml:space="preserve">  a  </t>
    </r>
    <r>
      <rPr>
        <sz val="10"/>
        <rFont val="Arial"/>
        <family val="2"/>
      </rPr>
      <t>Эридана</t>
    </r>
  </si>
  <si>
    <r>
      <t xml:space="preserve">  a  </t>
    </r>
    <r>
      <rPr>
        <sz val="10"/>
        <rFont val="Arial"/>
        <family val="2"/>
      </rPr>
      <t>Персея</t>
    </r>
  </si>
  <si>
    <r>
      <t xml:space="preserve">  a  </t>
    </r>
    <r>
      <rPr>
        <sz val="10"/>
        <rFont val="Arial"/>
        <family val="2"/>
      </rPr>
      <t>Тельца</t>
    </r>
  </si>
  <si>
    <r>
      <t xml:space="preserve">  b  </t>
    </r>
    <r>
      <rPr>
        <sz val="10"/>
        <rFont val="Arial"/>
        <family val="2"/>
      </rPr>
      <t>Ориона</t>
    </r>
  </si>
  <si>
    <r>
      <t xml:space="preserve">  a  </t>
    </r>
    <r>
      <rPr>
        <sz val="10"/>
        <rFont val="Arial"/>
        <family val="2"/>
      </rPr>
      <t>Возничего</t>
    </r>
  </si>
  <si>
    <r>
      <t xml:space="preserve">  a  </t>
    </r>
    <r>
      <rPr>
        <sz val="10"/>
        <rFont val="Arial"/>
        <family val="2"/>
      </rPr>
      <t>Ориона</t>
    </r>
  </si>
  <si>
    <r>
      <t xml:space="preserve">  a  </t>
    </r>
    <r>
      <rPr>
        <sz val="10"/>
        <rFont val="Arial"/>
        <family val="2"/>
      </rPr>
      <t>Арго</t>
    </r>
  </si>
  <si>
    <r>
      <t xml:space="preserve">  a  </t>
    </r>
    <r>
      <rPr>
        <sz val="10"/>
        <rFont val="Arial"/>
        <family val="2"/>
      </rPr>
      <t>Большого Пса</t>
    </r>
  </si>
  <si>
    <r>
      <t xml:space="preserve">  a  </t>
    </r>
    <r>
      <rPr>
        <sz val="10"/>
        <rFont val="Arial"/>
        <family val="2"/>
      </rPr>
      <t>Малого Пса</t>
    </r>
  </si>
  <si>
    <r>
      <t xml:space="preserve">  b  </t>
    </r>
    <r>
      <rPr>
        <sz val="10"/>
        <rFont val="Arial"/>
        <family val="2"/>
      </rPr>
      <t>Близнецов</t>
    </r>
  </si>
  <si>
    <r>
      <t xml:space="preserve">  a  </t>
    </r>
    <r>
      <rPr>
        <sz val="10"/>
        <rFont val="Arial"/>
        <family val="2"/>
      </rPr>
      <t>Льва</t>
    </r>
  </si>
  <si>
    <r>
      <t xml:space="preserve">  a  </t>
    </r>
    <r>
      <rPr>
        <sz val="10"/>
        <rFont val="Arial"/>
        <family val="2"/>
      </rPr>
      <t>Большой Медведицы</t>
    </r>
  </si>
  <si>
    <r>
      <t xml:space="preserve">  b  </t>
    </r>
    <r>
      <rPr>
        <sz val="10"/>
        <rFont val="Arial"/>
        <family val="2"/>
      </rPr>
      <t>Южного Креста</t>
    </r>
  </si>
  <si>
    <r>
      <t xml:space="preserve">  a  </t>
    </r>
    <r>
      <rPr>
        <sz val="10"/>
        <rFont val="Arial"/>
        <family val="2"/>
      </rPr>
      <t>Девы</t>
    </r>
  </si>
  <si>
    <r>
      <t xml:space="preserve">  a  </t>
    </r>
    <r>
      <rPr>
        <sz val="10"/>
        <rFont val="Arial"/>
        <family val="2"/>
      </rPr>
      <t>Волопаса</t>
    </r>
  </si>
  <si>
    <r>
      <t xml:space="preserve">  a  </t>
    </r>
    <r>
      <rPr>
        <sz val="10"/>
        <rFont val="Arial"/>
        <family val="2"/>
      </rPr>
      <t>Центавра</t>
    </r>
  </si>
  <si>
    <r>
      <t xml:space="preserve">  a  </t>
    </r>
    <r>
      <rPr>
        <sz val="10"/>
        <rFont val="Arial"/>
        <family val="2"/>
      </rPr>
      <t>Скорпиона</t>
    </r>
  </si>
  <si>
    <r>
      <t xml:space="preserve">  a  </t>
    </r>
    <r>
      <rPr>
        <sz val="10"/>
        <rFont val="Arial"/>
        <family val="2"/>
      </rPr>
      <t>Лиры</t>
    </r>
  </si>
  <si>
    <r>
      <t xml:space="preserve">  a  </t>
    </r>
    <r>
      <rPr>
        <sz val="10"/>
        <rFont val="Arial"/>
        <family val="2"/>
      </rPr>
      <t>Орла</t>
    </r>
  </si>
  <si>
    <r>
      <t xml:space="preserve">  a  </t>
    </r>
    <r>
      <rPr>
        <sz val="10"/>
        <rFont val="Arial"/>
        <family val="2"/>
      </rPr>
      <t>Павлина</t>
    </r>
  </si>
  <si>
    <r>
      <t xml:space="preserve">  a  </t>
    </r>
    <r>
      <rPr>
        <sz val="10"/>
        <rFont val="Arial"/>
        <family val="2"/>
      </rPr>
      <t>Лебедя</t>
    </r>
  </si>
  <si>
    <r>
      <t xml:space="preserve">  a  </t>
    </r>
    <r>
      <rPr>
        <sz val="10"/>
        <rFont val="Arial"/>
        <family val="2"/>
      </rPr>
      <t>Южной Рыбы</t>
    </r>
  </si>
  <si>
    <r>
      <t xml:space="preserve">  a  </t>
    </r>
    <r>
      <rPr>
        <sz val="10"/>
        <rFont val="Arial"/>
        <family val="2"/>
      </rPr>
      <t>Малой Медведицы</t>
    </r>
  </si>
  <si>
    <t xml:space="preserve">  Альферас</t>
  </si>
  <si>
    <t xml:space="preserve">   Кафф</t>
  </si>
  <si>
    <t xml:space="preserve">  Дифда</t>
  </si>
  <si>
    <t xml:space="preserve">  Ахернар</t>
  </si>
  <si>
    <t xml:space="preserve">  Мирфак</t>
  </si>
  <si>
    <t xml:space="preserve">  Альдебаран</t>
  </si>
  <si>
    <t xml:space="preserve">  Ригель</t>
  </si>
  <si>
    <t xml:space="preserve">  Капелла</t>
  </si>
  <si>
    <t xml:space="preserve">  Бетельгейзе</t>
  </si>
  <si>
    <t xml:space="preserve">  Канопус</t>
  </si>
  <si>
    <t xml:space="preserve">  Сириус</t>
  </si>
  <si>
    <t xml:space="preserve">  Процион</t>
  </si>
  <si>
    <t xml:space="preserve">  Полукс</t>
  </si>
  <si>
    <t xml:space="preserve">  Регул</t>
  </si>
  <si>
    <t xml:space="preserve">  Дубхе</t>
  </si>
  <si>
    <t xml:space="preserve">  Мимоза</t>
  </si>
  <si>
    <t xml:space="preserve">  Спика</t>
  </si>
  <si>
    <t xml:space="preserve">  Арктур</t>
  </si>
  <si>
    <t xml:space="preserve">  Ригиль Кентаврус</t>
  </si>
  <si>
    <t xml:space="preserve">  Антарес</t>
  </si>
  <si>
    <t xml:space="preserve">  Вега</t>
  </si>
  <si>
    <t xml:space="preserve">  Альтаир</t>
  </si>
  <si>
    <t xml:space="preserve">  Пикок</t>
  </si>
  <si>
    <t xml:space="preserve">  Денеб</t>
  </si>
  <si>
    <t xml:space="preserve">  Фомальхаут</t>
  </si>
  <si>
    <t xml:space="preserve">  Полярная</t>
  </si>
  <si>
    <t>1-я линия положения по звездам</t>
  </si>
  <si>
    <t>No. of Star (МАЕ):</t>
  </si>
  <si>
    <t>- табличное значение звездного дополнения на 1981 год</t>
  </si>
  <si>
    <t xml:space="preserve">- годичное изменение значения звездного дополнения </t>
  </si>
  <si>
    <t>- число лет от 1981 года до расчетного года</t>
  </si>
  <si>
    <r>
      <t>D</t>
    </r>
    <r>
      <rPr>
        <sz val="10"/>
        <rFont val="Arial Cyr"/>
        <family val="2"/>
      </rPr>
      <t>n</t>
    </r>
  </si>
  <si>
    <t>years</t>
  </si>
  <si>
    <r>
      <t xml:space="preserve">t </t>
    </r>
    <r>
      <rPr>
        <vertAlign val="subscript"/>
        <sz val="10"/>
        <rFont val="Arial"/>
        <family val="2"/>
      </rPr>
      <t>т</t>
    </r>
    <r>
      <rPr>
        <sz val="10"/>
        <rFont val="Arial"/>
        <family val="2"/>
      </rPr>
      <t>*</t>
    </r>
  </si>
  <si>
    <t>LHA (Star)</t>
  </si>
  <si>
    <t>GHA (Star)</t>
  </si>
  <si>
    <r>
      <t>d (</t>
    </r>
    <r>
      <rPr>
        <sz val="10"/>
        <rFont val="Arial"/>
        <family val="2"/>
      </rPr>
      <t>Star)</t>
    </r>
  </si>
  <si>
    <r>
      <t>_ h</t>
    </r>
    <r>
      <rPr>
        <vertAlign val="subscript"/>
        <sz val="10"/>
        <rFont val="Arial Cyr"/>
        <family val="2"/>
      </rPr>
      <t>o</t>
    </r>
    <r>
      <rPr>
        <sz val="10"/>
        <rFont val="Arial Cyr"/>
        <family val="2"/>
      </rPr>
      <t xml:space="preserve"> (Star)</t>
    </r>
  </si>
  <si>
    <r>
      <t>h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2"/>
      </rPr>
      <t xml:space="preserve"> (Star)</t>
    </r>
  </si>
  <si>
    <t>A (Star)</t>
  </si>
  <si>
    <t>- практический местный часовой угол звезды</t>
  </si>
  <si>
    <t>- склонение звезды</t>
  </si>
  <si>
    <t>- обсервованная высота звезды</t>
  </si>
  <si>
    <t>- расчетная высота звезды</t>
  </si>
  <si>
    <t>- расчетный азимут звезды</t>
  </si>
  <si>
    <t>- расчетный местный часовой угол звезды</t>
  </si>
  <si>
    <r>
      <t xml:space="preserve">d </t>
    </r>
    <r>
      <rPr>
        <vertAlign val="subscript"/>
        <sz val="10"/>
        <rFont val="Arial"/>
        <family val="2"/>
      </rPr>
      <t>т</t>
    </r>
    <r>
      <rPr>
        <sz val="10"/>
        <rFont val="Arial"/>
        <family val="2"/>
      </rPr>
      <t>*</t>
    </r>
  </si>
  <si>
    <r>
      <t xml:space="preserve">d </t>
    </r>
    <r>
      <rPr>
        <sz val="10"/>
        <rFont val="Arial Cyr"/>
        <family val="2"/>
      </rPr>
      <t>(Star)</t>
    </r>
  </si>
  <si>
    <t>- табличное значение склонения звезды на 1981 год</t>
  </si>
  <si>
    <t xml:space="preserve">- годичное изменение значения склонения звезды </t>
  </si>
  <si>
    <t>- значение склонения звезды на расчетный год</t>
  </si>
  <si>
    <t>- расчет азимута звезды по формуле котангенсов</t>
  </si>
  <si>
    <t>ГКП (Star):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</si>
  <si>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 Cyr"/>
        <family val="2"/>
      </rPr>
      <t>z</t>
    </r>
  </si>
  <si>
    <r>
      <t>Уравнение прямой азимута вида: tg</t>
    </r>
    <r>
      <rPr>
        <sz val="10"/>
        <rFont val="Symbol"/>
        <family val="1"/>
      </rPr>
      <t xml:space="preserve"> a </t>
    </r>
    <r>
      <rPr>
        <sz val="10"/>
        <rFont val="Arial Cyr"/>
        <family val="2"/>
      </rPr>
      <t>x</t>
    </r>
  </si>
  <si>
    <t>3-я линия положения по звездам</t>
  </si>
  <si>
    <t>2-я линия положения по звездам</t>
  </si>
  <si>
    <t>4-я линия положения по звездам</t>
  </si>
  <si>
    <t>5-я линия положения по звездам</t>
  </si>
  <si>
    <r>
      <t xml:space="preserve">Уравнение линии положения вида: tg </t>
    </r>
    <r>
      <rPr>
        <sz val="10"/>
        <rFont val="Symbol"/>
        <family val="1"/>
      </rPr>
      <t xml:space="preserve">a </t>
    </r>
    <r>
      <rPr>
        <sz val="10"/>
        <rFont val="Arial Cyr"/>
        <family val="2"/>
      </rPr>
      <t>x + b</t>
    </r>
  </si>
  <si>
    <t>Линия положения 4</t>
  </si>
  <si>
    <t>Линия положения 5</t>
  </si>
  <si>
    <t xml:space="preserve">   A1=</t>
  </si>
  <si>
    <t xml:space="preserve">   n1=</t>
  </si>
  <si>
    <t xml:space="preserve">   n2=</t>
  </si>
  <si>
    <t xml:space="preserve">   A2=</t>
  </si>
  <si>
    <t>лп 3-4:</t>
  </si>
  <si>
    <t>лп 4-5:</t>
  </si>
  <si>
    <t>A3-A4</t>
  </si>
  <si>
    <t>A4-A5</t>
  </si>
  <si>
    <t>q5</t>
  </si>
  <si>
    <t>q4</t>
  </si>
  <si>
    <r>
      <t xml:space="preserve">q4 </t>
    </r>
    <r>
      <rPr>
        <sz val="10"/>
        <rFont val="Arial Cyr"/>
        <family val="2"/>
      </rPr>
      <t>min</t>
    </r>
  </si>
  <si>
    <r>
      <t xml:space="preserve">q5 </t>
    </r>
    <r>
      <rPr>
        <sz val="10"/>
        <rFont val="Arial Cyr"/>
        <family val="2"/>
      </rPr>
      <t>min</t>
    </r>
  </si>
  <si>
    <t>M4</t>
  </si>
  <si>
    <t>M5</t>
  </si>
  <si>
    <t>P4</t>
  </si>
  <si>
    <t>P5</t>
  </si>
  <si>
    <t>X4</t>
  </si>
  <si>
    <t>X5</t>
  </si>
  <si>
    <t>Y4</t>
  </si>
  <si>
    <t>Y5</t>
  </si>
  <si>
    <t>лп 1-5:</t>
  </si>
  <si>
    <t xml:space="preserve">Точка P***:    </t>
  </si>
  <si>
    <t>линия P**-P***</t>
  </si>
  <si>
    <t>X***</t>
  </si>
  <si>
    <t>Y***</t>
  </si>
  <si>
    <t>P****</t>
  </si>
  <si>
    <t>P**</t>
  </si>
  <si>
    <t xml:space="preserve">Точка P****:    </t>
  </si>
  <si>
    <t>линия P***-P5</t>
  </si>
  <si>
    <t>линия P**-P4</t>
  </si>
  <si>
    <t>линия P***-P4</t>
  </si>
  <si>
    <t>линия P***-P****</t>
  </si>
  <si>
    <t>линия P****-P5</t>
  </si>
  <si>
    <t>X****</t>
  </si>
  <si>
    <t>Y****</t>
  </si>
  <si>
    <t>Расчет места судна по 5-ти линиям положения:</t>
  </si>
  <si>
    <t>Расчет места судна по 4-м линиям положения:</t>
  </si>
  <si>
    <t>лп 1-4:</t>
  </si>
  <si>
    <t>A1-A4</t>
  </si>
  <si>
    <t>A1-A5</t>
  </si>
  <si>
    <t xml:space="preserve">X* =  </t>
  </si>
  <si>
    <r>
      <t xml:space="preserve">        D</t>
    </r>
    <r>
      <rPr>
        <sz val="10"/>
        <rFont val="Arial Cyr"/>
        <family val="2"/>
      </rPr>
      <t>X=</t>
    </r>
  </si>
  <si>
    <r>
      <t xml:space="preserve">        D</t>
    </r>
    <r>
      <rPr>
        <sz val="10"/>
        <rFont val="Arial Cyr"/>
        <family val="2"/>
      </rPr>
      <t>Y=</t>
    </r>
  </si>
  <si>
    <r>
      <t xml:space="preserve">        Dl</t>
    </r>
    <r>
      <rPr>
        <i/>
        <sz val="10"/>
        <rFont val="Arial Cyr"/>
        <family val="2"/>
      </rPr>
      <t xml:space="preserve"> =</t>
    </r>
  </si>
  <si>
    <r>
      <t xml:space="preserve">        Dj</t>
    </r>
    <r>
      <rPr>
        <i/>
        <sz val="10"/>
        <rFont val="Arial Cyr"/>
        <family val="2"/>
      </rPr>
      <t xml:space="preserve"> =</t>
    </r>
  </si>
  <si>
    <r>
      <t>j</t>
    </r>
    <r>
      <rPr>
        <i/>
        <sz val="10"/>
        <rFont val="Arial Cyr"/>
        <family val="2"/>
      </rPr>
      <t xml:space="preserve"> =</t>
    </r>
  </si>
  <si>
    <r>
      <t>l</t>
    </r>
    <r>
      <rPr>
        <i/>
        <sz val="10"/>
        <rFont val="Arial Cyr"/>
        <family val="2"/>
      </rPr>
      <t xml:space="preserve"> =</t>
    </r>
  </si>
  <si>
    <t>Окончательный расчет координат:</t>
  </si>
  <si>
    <t>Enter data for celestial calculation:</t>
  </si>
  <si>
    <t>True Course:</t>
  </si>
  <si>
    <t>Speed overground:</t>
  </si>
  <si>
    <t>Eye height:</t>
  </si>
  <si>
    <t>Air temperature:</t>
  </si>
  <si>
    <t>Atm. Pressure:</t>
  </si>
  <si>
    <t>hour</t>
  </si>
  <si>
    <t>min</t>
  </si>
  <si>
    <t>I</t>
  </si>
  <si>
    <t>sec</t>
  </si>
  <si>
    <t>II</t>
  </si>
  <si>
    <t>Azimuth</t>
  </si>
  <si>
    <t>Star No.</t>
  </si>
  <si>
    <t>III</t>
  </si>
  <si>
    <t>IV</t>
  </si>
  <si>
    <t>V</t>
  </si>
  <si>
    <t xml:space="preserve">     Name of Star</t>
  </si>
  <si>
    <t xml:space="preserve">  Observed Altitude</t>
  </si>
  <si>
    <t>Calculated tables: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</si>
  <si>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T,B</t>
    </r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</si>
  <si>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d</t>
    </r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</si>
  <si>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Symbol"/>
        <family val="1"/>
      </rPr>
      <t>r</t>
    </r>
  </si>
  <si>
    <t>Gyro &amp; Magnetic Compass Error calculation:</t>
  </si>
  <si>
    <t>Magnetic Course:</t>
  </si>
  <si>
    <t>Magnetic Variation:</t>
  </si>
  <si>
    <t>Gyro Course:</t>
  </si>
  <si>
    <t>Gyro Azimuth:</t>
  </si>
  <si>
    <t>No. &amp; Name of Star:</t>
  </si>
  <si>
    <t>Results:</t>
  </si>
  <si>
    <t>GCo</t>
  </si>
  <si>
    <t>MagCo</t>
  </si>
  <si>
    <t>StCo</t>
  </si>
  <si>
    <t>GyroError</t>
  </si>
  <si>
    <t>MagError</t>
  </si>
  <si>
    <t>MagVar</t>
  </si>
  <si>
    <t>MagDev</t>
  </si>
  <si>
    <t>TrueAz</t>
  </si>
  <si>
    <t>GyroAz</t>
  </si>
  <si>
    <t>h of Star:</t>
  </si>
  <si>
    <t>Enter data for celestial calculation of ship's position:</t>
  </si>
  <si>
    <t>Ship's position (observed):</t>
  </si>
  <si>
    <t>lower</t>
  </si>
  <si>
    <t>R: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</si>
  <si>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P</t>
    </r>
  </si>
  <si>
    <t xml:space="preserve">     Sextant Reading</t>
  </si>
  <si>
    <t>Mean Refraction in minutes</t>
  </si>
  <si>
    <t>h</t>
  </si>
  <si>
    <r>
      <t>D</t>
    </r>
    <r>
      <rPr>
        <i/>
        <sz val="10"/>
        <rFont val="Arial"/>
        <family val="2"/>
      </rPr>
      <t>h</t>
    </r>
    <r>
      <rPr>
        <i/>
        <vertAlign val="subscript"/>
        <sz val="10"/>
        <rFont val="Symbol"/>
        <family val="1"/>
      </rPr>
      <t>r</t>
    </r>
  </si>
  <si>
    <t>S (year 1981), Sun's Semi-diameter</t>
  </si>
  <si>
    <t>Limb</t>
  </si>
  <si>
    <t>Sun's Parallax</t>
  </si>
  <si>
    <r>
      <t>D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P</t>
    </r>
  </si>
  <si>
    <t>1E</t>
  </si>
  <si>
    <t>Calculated by:</t>
  </si>
  <si>
    <t>Select Observer:</t>
  </si>
  <si>
    <t>Star Name</t>
  </si>
  <si>
    <t xml:space="preserve">GMT of fix </t>
  </si>
  <si>
    <t>GDate</t>
  </si>
  <si>
    <t>GMT of obs.</t>
  </si>
  <si>
    <r>
      <t>t</t>
    </r>
    <r>
      <rPr>
        <sz val="10"/>
        <rFont val="Arial Cyr"/>
        <family val="2"/>
      </rPr>
      <t>*</t>
    </r>
  </si>
  <si>
    <t>GHA (Aries)</t>
  </si>
  <si>
    <t>- значение звездного дополнения на расчетный год</t>
  </si>
  <si>
    <t>i+s</t>
  </si>
  <si>
    <t>A</t>
  </si>
  <si>
    <t>Ship's time:</t>
  </si>
  <si>
    <t>Height of eye:</t>
  </si>
  <si>
    <t>Ship's speed:</t>
  </si>
  <si>
    <t>True course:</t>
  </si>
  <si>
    <t>Atm. pressure:</t>
  </si>
  <si>
    <t>Time Zone:</t>
  </si>
  <si>
    <t>Ship's Time, Np:</t>
  </si>
  <si>
    <t>Sextan Reading</t>
  </si>
  <si>
    <t>Observed position:</t>
  </si>
  <si>
    <t xml:space="preserve">c calculated </t>
  </si>
  <si>
    <t xml:space="preserve">C =   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</si>
  <si>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 Cyr"/>
        <family val="2"/>
      </rPr>
      <t>P</t>
    </r>
  </si>
  <si>
    <t>R</t>
  </si>
  <si>
    <t xml:space="preserve">  n1</t>
  </si>
  <si>
    <t xml:space="preserve">  n2</t>
  </si>
  <si>
    <t>h of Sun:</t>
  </si>
  <si>
    <t>S</t>
  </si>
  <si>
    <t>Chief officer  _____________ D. Orlov</t>
  </si>
  <si>
    <t>E</t>
  </si>
  <si>
    <t>2 officer  _____________ N. Makhaev</t>
  </si>
  <si>
    <t>Chief officer  _____________ Y. Ivanov</t>
  </si>
  <si>
    <t>DATE:</t>
  </si>
  <si>
    <t>SUN</t>
  </si>
  <si>
    <t>PLACE:</t>
  </si>
  <si>
    <t>UTC</t>
  </si>
  <si>
    <t>LAT.</t>
  </si>
  <si>
    <t>LONG.</t>
  </si>
  <si>
    <t>GHA</t>
  </si>
  <si>
    <t>LHA</t>
  </si>
  <si>
    <t>Dec</t>
  </si>
  <si>
    <t>Hs</t>
  </si>
  <si>
    <t>DIP</t>
  </si>
  <si>
    <t>M-cor</t>
  </si>
  <si>
    <t>Ho</t>
  </si>
  <si>
    <t>Hc</t>
  </si>
  <si>
    <t>In-pt</t>
  </si>
  <si>
    <t>Az</t>
  </si>
  <si>
    <t>LATo</t>
  </si>
  <si>
    <t>LONGo</t>
  </si>
  <si>
    <t>5W</t>
  </si>
  <si>
    <t>Mexican Gulf</t>
  </si>
  <si>
    <t>- гринвичский часовой угол точки Овна (Гр. Звездное время)</t>
  </si>
  <si>
    <t>- гринвичский часовой угол Солнца</t>
  </si>
  <si>
    <t>Greenwich Date:</t>
  </si>
  <si>
    <t>Greenwich Time:</t>
  </si>
  <si>
    <t>- гринвичский часовой угол звезды</t>
  </si>
  <si>
    <t>- значение гринвичского часового угла звезды на расчетный год</t>
  </si>
  <si>
    <t>- гринвичское звездное время на 1-е число расчетного месяца 1981 года</t>
  </si>
  <si>
    <t>- гринвичское звездное время на заданную дату и время расчетного года</t>
  </si>
  <si>
    <t xml:space="preserve">  Обозначение в созвездии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</si>
</sst>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&quot;°&quot;"/>
    <numFmt numFmtId="168" formatCode="0.00&quot;'&quot;"/>
    <numFmt numFmtId="169" formatCode="0&quot;W&quot;"/>
    <numFmt numFmtId="170" formatCode="0.0&quot;°&quot;"/>
    <numFmt numFmtId="171" formatCode="0.0&quot;'&quot;"/>
    <numFmt numFmtId="172" formatCode="0.00&quot;°&quot;"/>
    <numFmt numFmtId="173" formatCode="0.000&quot;°&quot;"/>
    <numFmt numFmtId="174" formatCode="0.0&quot;' W&quot;"/>
    <numFmt numFmtId="175" formatCode="0&quot; ч&quot;"/>
    <numFmt numFmtId="176" formatCode="0&quot; мин&quot;"/>
    <numFmt numFmtId="177" formatCode="0&quot; с&quot;"/>
    <numFmt numFmtId="178" formatCode="0&quot; day&quot;"/>
    <numFmt numFmtId="179" formatCode="0&quot; month&quot;"/>
    <numFmt numFmtId="180" formatCode="0&quot; year&quot;"/>
    <numFmt numFmtId="181" formatCode="&quot;  =  &quot;0&quot;°&quot;"/>
    <numFmt numFmtId="182" formatCode="0.00&quot; ч&quot;"/>
    <numFmt numFmtId="183" formatCode="&quot;  A1=&quot;0.0&quot;°&quot;"/>
    <numFmt numFmtId="184" formatCode="&quot;  A2=&quot;0.0&quot;°&quot;"/>
    <numFmt numFmtId="185" formatCode="&quot;  A3=&quot;0.0&quot;°&quot;"/>
    <numFmt numFmtId="186" formatCode="0.000&quot;  &quot;"/>
    <numFmt numFmtId="187" formatCode="0.0000&quot;  &quot;"/>
    <numFmt numFmtId="188" formatCode="0.0000&quot;   &quot;"/>
    <numFmt numFmtId="189" formatCode="&quot;  A5=&quot;0.0&quot;°&quot;"/>
    <numFmt numFmtId="190" formatCode="0.0&quot; kn&quot;"/>
    <numFmt numFmtId="191" formatCode="0.0&quot; m&quot;"/>
    <numFmt numFmtId="192" formatCode="0&quot; mmHg&quot;"/>
    <numFmt numFmtId="193" formatCode="00.00&quot;'&quot;"/>
    <numFmt numFmtId="194" formatCode="0&quot;°C&quot;"/>
    <numFmt numFmtId="195" formatCode="00&quot; min&quot;"/>
    <numFmt numFmtId="196" formatCode="00&quot; s&quot;"/>
    <numFmt numFmtId="197" formatCode="00&quot; h&quot;"/>
    <numFmt numFmtId="198" formatCode="00.0&quot;'&quot;"/>
    <numFmt numFmtId="199" formatCode="000.0&quot;°&quot;"/>
    <numFmt numFmtId="200" formatCode="00&quot;°&quot;"/>
    <numFmt numFmtId="201" formatCode="000&quot;°&quot;"/>
    <numFmt numFmtId="202" formatCode="&quot;  =     &quot;00&quot;°&quot;"/>
    <numFmt numFmtId="203" formatCode="&quot;  =   &quot;000&quot;°&quot;"/>
    <numFmt numFmtId="204" formatCode="0&quot;   &quot;"/>
    <numFmt numFmtId="205" formatCode="000.0&quot;°   -&quot;"/>
    <numFmt numFmtId="206" formatCode="&quot;  =    &quot;00&quot;°&quot;"/>
    <numFmt numFmtId="207" formatCode="&quot;  =  &quot;000&quot;°&quot;"/>
    <numFmt numFmtId="208" formatCode="dd\ mmm\ yy"/>
  </numFmts>
  <fonts count="31">
    <font>
      <sz val="10"/>
      <name val="Arial Cyr"/>
      <family val="0"/>
    </font>
    <font>
      <b/>
      <i/>
      <sz val="10"/>
      <color indexed="10"/>
      <name val="Arial Cyr"/>
      <family val="2"/>
    </font>
    <font>
      <b/>
      <sz val="10"/>
      <name val="Arial Cyr"/>
      <family val="2"/>
    </font>
    <font>
      <sz val="10"/>
      <name val="Symbol"/>
      <family val="1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Arial Cyr"/>
      <family val="2"/>
    </font>
    <font>
      <b/>
      <sz val="10"/>
      <color indexed="12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i/>
      <sz val="10"/>
      <name val="Symbol"/>
      <family val="1"/>
    </font>
    <font>
      <b/>
      <i/>
      <u val="single"/>
      <sz val="10"/>
      <color indexed="20"/>
      <name val="Arial Cyr"/>
      <family val="2"/>
    </font>
    <font>
      <b/>
      <sz val="10"/>
      <color indexed="61"/>
      <name val="Arial Cyr"/>
      <family val="2"/>
    </font>
    <font>
      <i/>
      <sz val="10"/>
      <name val="Symbol"/>
      <family val="1"/>
    </font>
    <font>
      <vertAlign val="subscript"/>
      <sz val="10"/>
      <name val="Symbol"/>
      <family val="1"/>
    </font>
    <font>
      <b/>
      <sz val="10"/>
      <color indexed="53"/>
      <name val="Arial Cyr"/>
      <family val="2"/>
    </font>
    <font>
      <i/>
      <sz val="10"/>
      <name val="Arial"/>
      <family val="2"/>
    </font>
    <font>
      <i/>
      <vertAlign val="subscript"/>
      <sz val="10"/>
      <name val="Symbol"/>
      <family val="1"/>
    </font>
    <font>
      <i/>
      <vertAlign val="subscript"/>
      <sz val="10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0"/>
      <name val="Symbol"/>
      <family val="1"/>
    </font>
    <font>
      <b/>
      <i/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ck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ck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ck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ck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 style="thin">
        <color indexed="57"/>
      </right>
      <top style="thick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ck">
        <color indexed="57"/>
      </right>
      <top style="thin">
        <color indexed="57"/>
      </top>
      <bottom>
        <color indexed="63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ck">
        <color indexed="57"/>
      </bottom>
    </border>
    <border>
      <left style="thick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57"/>
      </left>
      <right style="thick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8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4" fillId="0" borderId="0" xfId="0" applyNumberFormat="1" applyFont="1" applyAlignment="1">
      <alignment horizontal="right"/>
    </xf>
    <xf numFmtId="1" fontId="0" fillId="0" borderId="0" xfId="0" applyNumberFormat="1" applyAlignment="1" quotePrefix="1">
      <alignment horizontal="center"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1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  <xf numFmtId="173" fontId="2" fillId="0" borderId="0" xfId="0" applyNumberFormat="1" applyFont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 quotePrefix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horizontal="right"/>
    </xf>
    <xf numFmtId="165" fontId="0" fillId="0" borderId="26" xfId="0" applyNumberFormat="1" applyBorder="1" applyAlignment="1">
      <alignment/>
    </xf>
    <xf numFmtId="0" fontId="0" fillId="0" borderId="27" xfId="0" applyBorder="1" applyAlignment="1" quotePrefix="1">
      <alignment/>
    </xf>
    <xf numFmtId="0" fontId="8" fillId="0" borderId="0" xfId="0" applyFont="1" applyAlignment="1">
      <alignment/>
    </xf>
    <xf numFmtId="16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1" fontId="7" fillId="0" borderId="0" xfId="0" applyNumberFormat="1" applyFont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0" fontId="7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0" xfId="0" applyAlignment="1" quotePrefix="1">
      <alignment/>
    </xf>
    <xf numFmtId="178" fontId="7" fillId="0" borderId="0" xfId="0" applyNumberFormat="1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26" xfId="0" applyBorder="1" applyAlignment="1">
      <alignment horizontal="right"/>
    </xf>
    <xf numFmtId="173" fontId="2" fillId="0" borderId="26" xfId="0" applyNumberFormat="1" applyFont="1" applyBorder="1" applyAlignment="1">
      <alignment horizontal="right"/>
    </xf>
    <xf numFmtId="2" fontId="0" fillId="2" borderId="28" xfId="0" applyNumberFormat="1" applyFill="1" applyBorder="1" applyAlignment="1" quotePrefix="1">
      <alignment horizontal="center"/>
    </xf>
    <xf numFmtId="2" fontId="0" fillId="2" borderId="29" xfId="0" applyNumberFormat="1" applyFill="1" applyBorder="1" applyAlignment="1" quotePrefix="1">
      <alignment horizontal="center"/>
    </xf>
    <xf numFmtId="2" fontId="0" fillId="2" borderId="11" xfId="0" applyNumberFormat="1" applyFill="1" applyBorder="1" applyAlignment="1" quotePrefix="1">
      <alignment horizontal="center"/>
    </xf>
    <xf numFmtId="2" fontId="0" fillId="2" borderId="27" xfId="0" applyNumberFormat="1" applyFill="1" applyBorder="1" applyAlignment="1" quotePrefix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71" fontId="0" fillId="0" borderId="0" xfId="0" applyNumberFormat="1" applyBorder="1" applyAlignment="1">
      <alignment horizontal="left"/>
    </xf>
    <xf numFmtId="17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7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0" fontId="0" fillId="0" borderId="0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11" xfId="0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26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166" fontId="10" fillId="0" borderId="0" xfId="0" applyNumberFormat="1" applyFont="1" applyAlignment="1">
      <alignment horizontal="left"/>
    </xf>
    <xf numFmtId="181" fontId="0" fillId="0" borderId="0" xfId="0" applyNumberFormat="1" applyAlignment="1">
      <alignment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left"/>
    </xf>
    <xf numFmtId="182" fontId="0" fillId="0" borderId="0" xfId="0" applyNumberFormat="1" applyAlignment="1">
      <alignment horizontal="left"/>
    </xf>
    <xf numFmtId="172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72" fontId="0" fillId="0" borderId="26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2" fontId="0" fillId="0" borderId="26" xfId="0" applyNumberFormat="1" applyBorder="1" applyAlignment="1" quotePrefix="1">
      <alignment horizontal="center"/>
    </xf>
    <xf numFmtId="2" fontId="0" fillId="0" borderId="27" xfId="0" applyNumberFormat="1" applyBorder="1" applyAlignment="1">
      <alignment horizontal="center"/>
    </xf>
    <xf numFmtId="183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165" fontId="0" fillId="0" borderId="29" xfId="0" applyNumberFormat="1" applyBorder="1" applyAlignment="1">
      <alignment/>
    </xf>
    <xf numFmtId="0" fontId="0" fillId="0" borderId="28" xfId="0" applyBorder="1" applyAlignment="1">
      <alignment horizontal="left"/>
    </xf>
    <xf numFmtId="165" fontId="0" fillId="0" borderId="28" xfId="0" applyNumberFormat="1" applyBorder="1" applyAlignment="1">
      <alignment/>
    </xf>
    <xf numFmtId="164" fontId="0" fillId="0" borderId="12" xfId="0" applyNumberFormat="1" applyFont="1" applyBorder="1" applyAlignment="1">
      <alignment horizontal="center"/>
    </xf>
    <xf numFmtId="186" fontId="0" fillId="0" borderId="12" xfId="0" applyNumberFormat="1" applyFont="1" applyBorder="1" applyAlignment="1">
      <alignment horizontal="right"/>
    </xf>
    <xf numFmtId="187" fontId="0" fillId="0" borderId="12" xfId="0" applyNumberFormat="1" applyBorder="1" applyAlignment="1">
      <alignment horizontal="right"/>
    </xf>
    <xf numFmtId="187" fontId="0" fillId="0" borderId="1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164" fontId="0" fillId="0" borderId="2" xfId="0" applyNumberFormat="1" applyFont="1" applyBorder="1" applyAlignment="1">
      <alignment horizontal="center"/>
    </xf>
    <xf numFmtId="186" fontId="0" fillId="0" borderId="2" xfId="0" applyNumberFormat="1" applyFont="1" applyBorder="1" applyAlignment="1">
      <alignment horizontal="right"/>
    </xf>
    <xf numFmtId="187" fontId="0" fillId="0" borderId="2" xfId="0" applyNumberFormat="1" applyBorder="1" applyAlignment="1">
      <alignment horizontal="right"/>
    </xf>
    <xf numFmtId="188" fontId="0" fillId="0" borderId="3" xfId="0" applyNumberFormat="1" applyFont="1" applyBorder="1" applyAlignment="1">
      <alignment horizontal="right"/>
    </xf>
    <xf numFmtId="188" fontId="0" fillId="0" borderId="18" xfId="0" applyNumberFormat="1" applyFont="1" applyBorder="1" applyAlignment="1">
      <alignment horizontal="right"/>
    </xf>
    <xf numFmtId="0" fontId="0" fillId="0" borderId="4" xfId="0" applyBorder="1" applyAlignment="1" quotePrefix="1">
      <alignment horizontal="center"/>
    </xf>
    <xf numFmtId="0" fontId="3" fillId="0" borderId="38" xfId="0" applyFont="1" applyBorder="1" applyAlignment="1">
      <alignment horizontal="left"/>
    </xf>
    <xf numFmtId="165" fontId="0" fillId="0" borderId="39" xfId="0" applyNumberFormat="1" applyBorder="1" applyAlignment="1">
      <alignment/>
    </xf>
    <xf numFmtId="165" fontId="0" fillId="0" borderId="4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0" fillId="0" borderId="40" xfId="0" applyBorder="1" applyAlignment="1">
      <alignment/>
    </xf>
    <xf numFmtId="164" fontId="0" fillId="0" borderId="5" xfId="0" applyNumberFormat="1" applyFont="1" applyBorder="1" applyAlignment="1">
      <alignment horizontal="center"/>
    </xf>
    <xf numFmtId="186" fontId="0" fillId="0" borderId="5" xfId="0" applyNumberFormat="1" applyFont="1" applyBorder="1" applyAlignment="1">
      <alignment horizontal="right"/>
    </xf>
    <xf numFmtId="187" fontId="0" fillId="0" borderId="5" xfId="0" applyNumberFormat="1" applyBorder="1" applyAlignment="1">
      <alignment horizontal="right"/>
    </xf>
    <xf numFmtId="188" fontId="0" fillId="0" borderId="6" xfId="0" applyNumberFormat="1" applyFont="1" applyBorder="1" applyAlignment="1">
      <alignment horizontal="right"/>
    </xf>
    <xf numFmtId="0" fontId="13" fillId="0" borderId="0" xfId="0" applyFont="1" applyAlignment="1" quotePrefix="1">
      <alignment horizontal="left"/>
    </xf>
    <xf numFmtId="0" fontId="0" fillId="0" borderId="0" xfId="0" applyFont="1" applyAlignment="1" quotePrefix="1">
      <alignment horizontal="right"/>
    </xf>
    <xf numFmtId="1" fontId="4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70" fontId="0" fillId="0" borderId="0" xfId="0" applyNumberFormat="1" applyAlignment="1">
      <alignment/>
    </xf>
    <xf numFmtId="49" fontId="0" fillId="0" borderId="24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 quotePrefix="1">
      <alignment/>
    </xf>
    <xf numFmtId="189" fontId="0" fillId="0" borderId="0" xfId="0" applyNumberFormat="1" applyFont="1" applyAlignment="1">
      <alignment/>
    </xf>
    <xf numFmtId="170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36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172" fontId="0" fillId="0" borderId="39" xfId="0" applyNumberFormat="1" applyFont="1" applyFill="1" applyBorder="1" applyAlignment="1">
      <alignment horizontal="center"/>
    </xf>
    <xf numFmtId="172" fontId="2" fillId="0" borderId="39" xfId="0" applyNumberFormat="1" applyFont="1" applyFill="1" applyBorder="1" applyAlignment="1">
      <alignment horizontal="center"/>
    </xf>
    <xf numFmtId="166" fontId="2" fillId="0" borderId="39" xfId="0" applyNumberFormat="1" applyFont="1" applyBorder="1" applyAlignment="1">
      <alignment horizontal="center"/>
    </xf>
    <xf numFmtId="2" fontId="0" fillId="0" borderId="39" xfId="0" applyNumberFormat="1" applyBorder="1" applyAlignment="1" quotePrefix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0" fontId="8" fillId="4" borderId="41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0" xfId="0" applyFill="1" applyBorder="1" applyAlignment="1">
      <alignment/>
    </xf>
    <xf numFmtId="0" fontId="3" fillId="4" borderId="49" xfId="0" applyFont="1" applyFill="1" applyBorder="1" applyAlignment="1">
      <alignment horizontal="left"/>
    </xf>
    <xf numFmtId="2" fontId="0" fillId="4" borderId="0" xfId="0" applyNumberFormat="1" applyFill="1" applyBorder="1" applyAlignment="1">
      <alignment horizontal="center"/>
    </xf>
    <xf numFmtId="168" fontId="10" fillId="4" borderId="0" xfId="0" applyNumberFormat="1" applyFont="1" applyFill="1" applyBorder="1" applyAlignment="1">
      <alignment horizontal="left"/>
    </xf>
    <xf numFmtId="172" fontId="10" fillId="4" borderId="0" xfId="0" applyNumberFormat="1" applyFont="1" applyFill="1" applyBorder="1" applyAlignment="1">
      <alignment horizontal="left"/>
    </xf>
    <xf numFmtId="181" fontId="0" fillId="4" borderId="0" xfId="0" applyNumberFormat="1" applyFill="1" applyBorder="1" applyAlignment="1">
      <alignment/>
    </xf>
    <xf numFmtId="171" fontId="0" fillId="4" borderId="0" xfId="0" applyNumberFormat="1" applyFill="1" applyBorder="1" applyAlignment="1">
      <alignment horizontal="left"/>
    </xf>
    <xf numFmtId="0" fontId="3" fillId="4" borderId="47" xfId="0" applyFont="1" applyFill="1" applyBorder="1" applyAlignment="1">
      <alignment horizontal="left"/>
    </xf>
    <xf numFmtId="2" fontId="0" fillId="4" borderId="39" xfId="0" applyNumberFormat="1" applyFill="1" applyBorder="1" applyAlignment="1">
      <alignment horizontal="center"/>
    </xf>
    <xf numFmtId="0" fontId="14" fillId="4" borderId="39" xfId="0" applyFont="1" applyFill="1" applyBorder="1" applyAlignment="1">
      <alignment horizontal="right"/>
    </xf>
    <xf numFmtId="168" fontId="10" fillId="4" borderId="39" xfId="0" applyNumberFormat="1" applyFont="1" applyFill="1" applyBorder="1" applyAlignment="1">
      <alignment horizontal="left"/>
    </xf>
    <xf numFmtId="172" fontId="10" fillId="4" borderId="39" xfId="0" applyNumberFormat="1" applyFont="1" applyFill="1" applyBorder="1" applyAlignment="1">
      <alignment horizontal="left"/>
    </xf>
    <xf numFmtId="181" fontId="0" fillId="4" borderId="39" xfId="0" applyNumberFormat="1" applyFill="1" applyBorder="1" applyAlignment="1">
      <alignment/>
    </xf>
    <xf numFmtId="171" fontId="0" fillId="4" borderId="39" xfId="0" applyNumberFormat="1" applyFill="1" applyBorder="1" applyAlignment="1">
      <alignment horizontal="left"/>
    </xf>
    <xf numFmtId="0" fontId="0" fillId="4" borderId="48" xfId="0" applyFill="1" applyBorder="1" applyAlignment="1">
      <alignment/>
    </xf>
    <xf numFmtId="0" fontId="0" fillId="5" borderId="0" xfId="0" applyFill="1" applyBorder="1" applyAlignment="1">
      <alignment/>
    </xf>
    <xf numFmtId="0" fontId="12" fillId="5" borderId="41" xfId="0" applyFont="1" applyFill="1" applyBorder="1" applyAlignment="1">
      <alignment/>
    </xf>
    <xf numFmtId="0" fontId="0" fillId="5" borderId="36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11" fillId="5" borderId="49" xfId="0" applyFont="1" applyFill="1" applyBorder="1" applyAlignment="1">
      <alignment horizontal="right"/>
    </xf>
    <xf numFmtId="0" fontId="8" fillId="5" borderId="50" xfId="0" applyFont="1" applyFill="1" applyBorder="1" applyAlignment="1">
      <alignment/>
    </xf>
    <xf numFmtId="193" fontId="7" fillId="0" borderId="0" xfId="0" applyNumberFormat="1" applyFont="1" applyAlignment="1">
      <alignment horizontal="center"/>
    </xf>
    <xf numFmtId="195" fontId="7" fillId="0" borderId="0" xfId="0" applyNumberFormat="1" applyFont="1" applyBorder="1" applyAlignment="1">
      <alignment horizontal="center"/>
    </xf>
    <xf numFmtId="196" fontId="7" fillId="0" borderId="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 horizontal="center"/>
    </xf>
    <xf numFmtId="193" fontId="8" fillId="5" borderId="0" xfId="0" applyNumberFormat="1" applyFont="1" applyFill="1" applyBorder="1" applyAlignment="1">
      <alignment horizontal="left"/>
    </xf>
    <xf numFmtId="171" fontId="7" fillId="0" borderId="0" xfId="0" applyNumberFormat="1" applyFont="1" applyBorder="1" applyAlignment="1">
      <alignment horizontal="center"/>
    </xf>
    <xf numFmtId="180" fontId="7" fillId="0" borderId="51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7" fillId="0" borderId="0" xfId="0" applyFont="1" applyBorder="1" applyAlignment="1">
      <alignment/>
    </xf>
    <xf numFmtId="192" fontId="7" fillId="0" borderId="0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7" fillId="0" borderId="54" xfId="0" applyFont="1" applyBorder="1" applyAlignment="1">
      <alignment/>
    </xf>
    <xf numFmtId="20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left"/>
    </xf>
    <xf numFmtId="0" fontId="10" fillId="0" borderId="55" xfId="0" applyFont="1" applyBorder="1" applyAlignment="1">
      <alignment horizontal="center"/>
    </xf>
    <xf numFmtId="199" fontId="16" fillId="0" borderId="56" xfId="0" applyNumberFormat="1" applyFont="1" applyBorder="1" applyAlignment="1">
      <alignment horizontal="center"/>
    </xf>
    <xf numFmtId="199" fontId="16" fillId="0" borderId="54" xfId="0" applyNumberFormat="1" applyFont="1" applyBorder="1" applyAlignment="1">
      <alignment horizontal="center"/>
    </xf>
    <xf numFmtId="170" fontId="16" fillId="0" borderId="54" xfId="0" applyNumberFormat="1" applyFont="1" applyBorder="1" applyAlignment="1">
      <alignment horizontal="center"/>
    </xf>
    <xf numFmtId="170" fontId="16" fillId="0" borderId="57" xfId="0" applyNumberFormat="1" applyFont="1" applyBorder="1" applyAlignment="1">
      <alignment horizontal="center"/>
    </xf>
    <xf numFmtId="0" fontId="10" fillId="5" borderId="58" xfId="0" applyFont="1" applyFill="1" applyBorder="1" applyAlignment="1">
      <alignment/>
    </xf>
    <xf numFmtId="0" fontId="10" fillId="5" borderId="59" xfId="0" applyFont="1" applyFill="1" applyBorder="1" applyAlignment="1">
      <alignment/>
    </xf>
    <xf numFmtId="0" fontId="10" fillId="5" borderId="60" xfId="0" applyFont="1" applyFill="1" applyBorder="1" applyAlignment="1">
      <alignment horizontal="center"/>
    </xf>
    <xf numFmtId="0" fontId="10" fillId="5" borderId="61" xfId="0" applyFont="1" applyFill="1" applyBorder="1" applyAlignment="1">
      <alignment/>
    </xf>
    <xf numFmtId="0" fontId="10" fillId="5" borderId="51" xfId="0" applyFont="1" applyFill="1" applyBorder="1" applyAlignment="1">
      <alignment horizontal="center"/>
    </xf>
    <xf numFmtId="0" fontId="10" fillId="5" borderId="62" xfId="0" applyFont="1" applyFill="1" applyBorder="1" applyAlignment="1">
      <alignment horizontal="center"/>
    </xf>
    <xf numFmtId="0" fontId="10" fillId="5" borderId="63" xfId="0" applyFont="1" applyFill="1" applyBorder="1" applyAlignment="1">
      <alignment horizontal="center"/>
    </xf>
    <xf numFmtId="0" fontId="10" fillId="5" borderId="64" xfId="0" applyFont="1" applyFill="1" applyBorder="1" applyAlignment="1">
      <alignment/>
    </xf>
    <xf numFmtId="0" fontId="10" fillId="5" borderId="65" xfId="0" applyFont="1" applyFill="1" applyBorder="1" applyAlignment="1">
      <alignment/>
    </xf>
    <xf numFmtId="0" fontId="10" fillId="5" borderId="57" xfId="0" applyFont="1" applyFill="1" applyBorder="1" applyAlignment="1">
      <alignment horizontal="center"/>
    </xf>
    <xf numFmtId="0" fontId="7" fillId="5" borderId="61" xfId="0" applyFont="1" applyFill="1" applyBorder="1" applyAlignment="1">
      <alignment horizontal="center"/>
    </xf>
    <xf numFmtId="0" fontId="13" fillId="5" borderId="66" xfId="0" applyFont="1" applyFill="1" applyBorder="1" applyAlignment="1" quotePrefix="1">
      <alignment horizontal="left"/>
    </xf>
    <xf numFmtId="0" fontId="0" fillId="5" borderId="61" xfId="0" applyFill="1" applyBorder="1" applyAlignment="1">
      <alignment/>
    </xf>
    <xf numFmtId="197" fontId="7" fillId="5" borderId="67" xfId="0" applyNumberFormat="1" applyFont="1" applyFill="1" applyBorder="1" applyAlignment="1">
      <alignment horizontal="center"/>
    </xf>
    <xf numFmtId="195" fontId="7" fillId="5" borderId="67" xfId="0" applyNumberFormat="1" applyFont="1" applyFill="1" applyBorder="1" applyAlignment="1">
      <alignment horizontal="center"/>
    </xf>
    <xf numFmtId="196" fontId="7" fillId="5" borderId="67" xfId="0" applyNumberFormat="1" applyFont="1" applyFill="1" applyBorder="1" applyAlignment="1">
      <alignment horizontal="center"/>
    </xf>
    <xf numFmtId="199" fontId="7" fillId="5" borderId="68" xfId="0" applyNumberFormat="1" applyFont="1" applyFill="1" applyBorder="1" applyAlignment="1">
      <alignment horizontal="center"/>
    </xf>
    <xf numFmtId="0" fontId="7" fillId="5" borderId="69" xfId="0" applyFont="1" applyFill="1" applyBorder="1" applyAlignment="1">
      <alignment horizontal="center"/>
    </xf>
    <xf numFmtId="0" fontId="13" fillId="5" borderId="70" xfId="0" applyFont="1" applyFill="1" applyBorder="1" applyAlignment="1" quotePrefix="1">
      <alignment horizontal="left"/>
    </xf>
    <xf numFmtId="0" fontId="0" fillId="5" borderId="69" xfId="0" applyFill="1" applyBorder="1" applyAlignment="1">
      <alignment/>
    </xf>
    <xf numFmtId="197" fontId="7" fillId="5" borderId="71" xfId="0" applyNumberFormat="1" applyFont="1" applyFill="1" applyBorder="1" applyAlignment="1">
      <alignment horizontal="center"/>
    </xf>
    <xf numFmtId="195" fontId="7" fillId="5" borderId="71" xfId="0" applyNumberFormat="1" applyFont="1" applyFill="1" applyBorder="1" applyAlignment="1">
      <alignment horizontal="center"/>
    </xf>
    <xf numFmtId="196" fontId="7" fillId="5" borderId="71" xfId="0" applyNumberFormat="1" applyFont="1" applyFill="1" applyBorder="1" applyAlignment="1">
      <alignment horizontal="center"/>
    </xf>
    <xf numFmtId="199" fontId="7" fillId="5" borderId="72" xfId="0" applyNumberFormat="1" applyFont="1" applyFill="1" applyBorder="1" applyAlignment="1">
      <alignment horizontal="center"/>
    </xf>
    <xf numFmtId="0" fontId="13" fillId="5" borderId="73" xfId="0" applyFont="1" applyFill="1" applyBorder="1" applyAlignment="1" quotePrefix="1">
      <alignment horizontal="left"/>
    </xf>
    <xf numFmtId="0" fontId="0" fillId="5" borderId="74" xfId="0" applyFill="1" applyBorder="1" applyAlignment="1">
      <alignment/>
    </xf>
    <xf numFmtId="197" fontId="7" fillId="5" borderId="75" xfId="0" applyNumberFormat="1" applyFont="1" applyFill="1" applyBorder="1" applyAlignment="1">
      <alignment horizontal="center"/>
    </xf>
    <xf numFmtId="195" fontId="7" fillId="5" borderId="75" xfId="0" applyNumberFormat="1" applyFont="1" applyFill="1" applyBorder="1" applyAlignment="1">
      <alignment horizontal="center"/>
    </xf>
    <xf numFmtId="196" fontId="7" fillId="5" borderId="75" xfId="0" applyNumberFormat="1" applyFont="1" applyFill="1" applyBorder="1" applyAlignment="1">
      <alignment horizontal="center"/>
    </xf>
    <xf numFmtId="167" fontId="7" fillId="5" borderId="66" xfId="0" applyNumberFormat="1" applyFont="1" applyFill="1" applyBorder="1" applyAlignment="1">
      <alignment horizontal="right"/>
    </xf>
    <xf numFmtId="167" fontId="7" fillId="5" borderId="70" xfId="0" applyNumberFormat="1" applyFont="1" applyFill="1" applyBorder="1" applyAlignment="1">
      <alignment horizontal="right"/>
    </xf>
    <xf numFmtId="167" fontId="7" fillId="5" borderId="73" xfId="0" applyNumberFormat="1" applyFont="1" applyFill="1" applyBorder="1" applyAlignment="1">
      <alignment horizontal="right"/>
    </xf>
    <xf numFmtId="198" fontId="7" fillId="5" borderId="61" xfId="0" applyNumberFormat="1" applyFont="1" applyFill="1" applyBorder="1" applyAlignment="1">
      <alignment horizontal="left"/>
    </xf>
    <xf numFmtId="198" fontId="7" fillId="5" borderId="69" xfId="0" applyNumberFormat="1" applyFont="1" applyFill="1" applyBorder="1" applyAlignment="1">
      <alignment horizontal="left"/>
    </xf>
    <xf numFmtId="0" fontId="7" fillId="0" borderId="55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2" xfId="0" applyFont="1" applyBorder="1" applyAlignment="1">
      <alignment/>
    </xf>
    <xf numFmtId="0" fontId="0" fillId="5" borderId="76" xfId="0" applyFill="1" applyBorder="1" applyAlignment="1">
      <alignment/>
    </xf>
    <xf numFmtId="0" fontId="0" fillId="5" borderId="77" xfId="0" applyFill="1" applyBorder="1" applyAlignment="1">
      <alignment/>
    </xf>
    <xf numFmtId="0" fontId="0" fillId="5" borderId="78" xfId="0" applyFill="1" applyBorder="1" applyAlignment="1">
      <alignment/>
    </xf>
    <xf numFmtId="179" fontId="7" fillId="5" borderId="79" xfId="0" applyNumberFormat="1" applyFont="1" applyFill="1" applyBorder="1" applyAlignment="1">
      <alignment horizontal="center"/>
    </xf>
    <xf numFmtId="195" fontId="7" fillId="5" borderId="80" xfId="0" applyNumberFormat="1" applyFont="1" applyFill="1" applyBorder="1" applyAlignment="1">
      <alignment horizontal="center"/>
    </xf>
    <xf numFmtId="0" fontId="7" fillId="5" borderId="81" xfId="0" applyFont="1" applyFill="1" applyBorder="1" applyAlignment="1">
      <alignment horizontal="center"/>
    </xf>
    <xf numFmtId="193" fontId="7" fillId="5" borderId="82" xfId="0" applyNumberFormat="1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180" fontId="7" fillId="5" borderId="84" xfId="0" applyNumberFormat="1" applyFont="1" applyFill="1" applyBorder="1" applyAlignment="1">
      <alignment horizontal="center"/>
    </xf>
    <xf numFmtId="0" fontId="10" fillId="5" borderId="65" xfId="0" applyFont="1" applyFill="1" applyBorder="1" applyAlignment="1">
      <alignment horizontal="center"/>
    </xf>
    <xf numFmtId="0" fontId="10" fillId="5" borderId="85" xfId="0" applyFont="1" applyFill="1" applyBorder="1" applyAlignment="1">
      <alignment/>
    </xf>
    <xf numFmtId="0" fontId="10" fillId="5" borderId="60" xfId="0" applyFont="1" applyFill="1" applyBorder="1" applyAlignment="1">
      <alignment/>
    </xf>
    <xf numFmtId="0" fontId="10" fillId="5" borderId="86" xfId="0" applyFont="1" applyFill="1" applyBorder="1" applyAlignment="1">
      <alignment horizontal="center"/>
    </xf>
    <xf numFmtId="0" fontId="7" fillId="0" borderId="56" xfId="0" applyFont="1" applyBorder="1" applyAlignment="1">
      <alignment/>
    </xf>
    <xf numFmtId="179" fontId="7" fillId="5" borderId="67" xfId="0" applyNumberFormat="1" applyFont="1" applyFill="1" applyBorder="1" applyAlignment="1">
      <alignment horizontal="center"/>
    </xf>
    <xf numFmtId="180" fontId="7" fillId="5" borderId="68" xfId="0" applyNumberFormat="1" applyFont="1" applyFill="1" applyBorder="1" applyAlignment="1">
      <alignment horizontal="center"/>
    </xf>
    <xf numFmtId="196" fontId="7" fillId="5" borderId="72" xfId="0" applyNumberFormat="1" applyFont="1" applyFill="1" applyBorder="1" applyAlignment="1">
      <alignment horizontal="center"/>
    </xf>
    <xf numFmtId="193" fontId="7" fillId="5" borderId="71" xfId="0" applyNumberFormat="1" applyFont="1" applyFill="1" applyBorder="1" applyAlignment="1">
      <alignment horizontal="center"/>
    </xf>
    <xf numFmtId="0" fontId="7" fillId="5" borderId="72" xfId="0" applyFont="1" applyFill="1" applyBorder="1" applyAlignment="1">
      <alignment horizontal="center"/>
    </xf>
    <xf numFmtId="193" fontId="7" fillId="5" borderId="87" xfId="0" applyNumberFormat="1" applyFont="1" applyFill="1" applyBorder="1" applyAlignment="1">
      <alignment horizontal="center"/>
    </xf>
    <xf numFmtId="0" fontId="7" fillId="5" borderId="88" xfId="0" applyFont="1" applyFill="1" applyBorder="1" applyAlignment="1">
      <alignment horizontal="center"/>
    </xf>
    <xf numFmtId="0" fontId="13" fillId="5" borderId="0" xfId="0" applyFont="1" applyFill="1" applyBorder="1" applyAlignment="1" quotePrefix="1">
      <alignment horizontal="left"/>
    </xf>
    <xf numFmtId="0" fontId="7" fillId="5" borderId="85" xfId="0" applyFont="1" applyFill="1" applyBorder="1" applyAlignment="1">
      <alignment/>
    </xf>
    <xf numFmtId="0" fontId="2" fillId="5" borderId="89" xfId="0" applyFont="1" applyFill="1" applyBorder="1" applyAlignment="1">
      <alignment horizontal="center"/>
    </xf>
    <xf numFmtId="0" fontId="2" fillId="5" borderId="90" xfId="0" applyFont="1" applyFill="1" applyBorder="1" applyAlignment="1">
      <alignment horizontal="center"/>
    </xf>
    <xf numFmtId="0" fontId="2" fillId="5" borderId="91" xfId="0" applyFont="1" applyFill="1" applyBorder="1" applyAlignment="1">
      <alignment horizontal="center"/>
    </xf>
    <xf numFmtId="178" fontId="7" fillId="5" borderId="59" xfId="0" applyNumberFormat="1" applyFont="1" applyFill="1" applyBorder="1" applyAlignment="1">
      <alignment horizontal="center"/>
    </xf>
    <xf numFmtId="197" fontId="7" fillId="5" borderId="69" xfId="0" applyNumberFormat="1" applyFont="1" applyFill="1" applyBorder="1" applyAlignment="1">
      <alignment horizontal="center"/>
    </xf>
    <xf numFmtId="167" fontId="7" fillId="5" borderId="69" xfId="0" applyNumberFormat="1" applyFont="1" applyFill="1" applyBorder="1" applyAlignment="1">
      <alignment horizontal="center"/>
    </xf>
    <xf numFmtId="201" fontId="7" fillId="5" borderId="92" xfId="0" applyNumberFormat="1" applyFont="1" applyFill="1" applyBorder="1" applyAlignment="1">
      <alignment horizontal="center"/>
    </xf>
    <xf numFmtId="199" fontId="7" fillId="5" borderId="93" xfId="0" applyNumberFormat="1" applyFont="1" applyFill="1" applyBorder="1" applyAlignment="1">
      <alignment horizontal="center"/>
    </xf>
    <xf numFmtId="190" fontId="7" fillId="5" borderId="93" xfId="0" applyNumberFormat="1" applyFont="1" applyFill="1" applyBorder="1" applyAlignment="1">
      <alignment horizontal="center"/>
    </xf>
    <xf numFmtId="191" fontId="7" fillId="5" borderId="93" xfId="0" applyNumberFormat="1" applyFont="1" applyFill="1" applyBorder="1" applyAlignment="1">
      <alignment horizontal="center"/>
    </xf>
    <xf numFmtId="194" fontId="7" fillId="5" borderId="93" xfId="0" applyNumberFormat="1" applyFont="1" applyFill="1" applyBorder="1" applyAlignment="1">
      <alignment horizontal="center"/>
    </xf>
    <xf numFmtId="192" fontId="7" fillId="5" borderId="93" xfId="0" applyNumberFormat="1" applyFont="1" applyFill="1" applyBorder="1" applyAlignment="1">
      <alignment horizontal="center"/>
    </xf>
    <xf numFmtId="171" fontId="7" fillId="5" borderId="94" xfId="0" applyNumberFormat="1" applyFont="1" applyFill="1" applyBorder="1" applyAlignment="1">
      <alignment horizontal="center"/>
    </xf>
    <xf numFmtId="0" fontId="10" fillId="5" borderId="95" xfId="0" applyFont="1" applyFill="1" applyBorder="1" applyAlignment="1">
      <alignment horizontal="right"/>
    </xf>
    <xf numFmtId="0" fontId="10" fillId="5" borderId="93" xfId="0" applyFont="1" applyFill="1" applyBorder="1" applyAlignment="1">
      <alignment horizontal="right"/>
    </xf>
    <xf numFmtId="0" fontId="10" fillId="5" borderId="94" xfId="0" applyFont="1" applyFill="1" applyBorder="1" applyAlignment="1">
      <alignment horizontal="right"/>
    </xf>
    <xf numFmtId="178" fontId="7" fillId="5" borderId="61" xfId="0" applyNumberFormat="1" applyFont="1" applyFill="1" applyBorder="1" applyAlignment="1">
      <alignment horizontal="center"/>
    </xf>
    <xf numFmtId="201" fontId="7" fillId="5" borderId="96" xfId="0" applyNumberFormat="1" applyFont="1" applyFill="1" applyBorder="1" applyAlignment="1">
      <alignment horizontal="center"/>
    </xf>
    <xf numFmtId="199" fontId="7" fillId="5" borderId="97" xfId="0" applyNumberFormat="1" applyFont="1" applyFill="1" applyBorder="1" applyAlignment="1">
      <alignment horizontal="center"/>
    </xf>
    <xf numFmtId="170" fontId="7" fillId="5" borderId="97" xfId="0" applyNumberFormat="1" applyFont="1" applyFill="1" applyBorder="1" applyAlignment="1">
      <alignment horizontal="center"/>
    </xf>
    <xf numFmtId="1" fontId="7" fillId="5" borderId="69" xfId="0" applyNumberFormat="1" applyFont="1" applyFill="1" applyBorder="1" applyAlignment="1">
      <alignment horizontal="center"/>
    </xf>
    <xf numFmtId="199" fontId="7" fillId="5" borderId="98" xfId="0" applyNumberFormat="1" applyFont="1" applyFill="1" applyBorder="1" applyAlignment="1">
      <alignment horizontal="center"/>
    </xf>
    <xf numFmtId="0" fontId="10" fillId="0" borderId="85" xfId="0" applyFont="1" applyBorder="1" applyAlignment="1">
      <alignment/>
    </xf>
    <xf numFmtId="0" fontId="10" fillId="0" borderId="57" xfId="0" applyFont="1" applyBorder="1" applyAlignment="1">
      <alignment horizontal="center"/>
    </xf>
    <xf numFmtId="198" fontId="7" fillId="0" borderId="0" xfId="0" applyNumberFormat="1" applyFont="1" applyAlignment="1">
      <alignment horizontal="center"/>
    </xf>
    <xf numFmtId="199" fontId="7" fillId="0" borderId="0" xfId="0" applyNumberFormat="1" applyFont="1" applyAlignment="1">
      <alignment horizontal="center"/>
    </xf>
    <xf numFmtId="179" fontId="7" fillId="0" borderId="61" xfId="0" applyNumberFormat="1" applyFont="1" applyBorder="1" applyAlignment="1">
      <alignment horizontal="center"/>
    </xf>
    <xf numFmtId="199" fontId="7" fillId="5" borderId="77" xfId="0" applyNumberFormat="1" applyFont="1" applyFill="1" applyBorder="1" applyAlignment="1">
      <alignment horizontal="center"/>
    </xf>
    <xf numFmtId="190" fontId="7" fillId="5" borderId="77" xfId="0" applyNumberFormat="1" applyFont="1" applyFill="1" applyBorder="1" applyAlignment="1">
      <alignment horizontal="center"/>
    </xf>
    <xf numFmtId="191" fontId="7" fillId="5" borderId="77" xfId="0" applyNumberFormat="1" applyFont="1" applyFill="1" applyBorder="1" applyAlignment="1">
      <alignment horizontal="center"/>
    </xf>
    <xf numFmtId="194" fontId="7" fillId="5" borderId="77" xfId="0" applyNumberFormat="1" applyFont="1" applyFill="1" applyBorder="1" applyAlignment="1">
      <alignment horizontal="center"/>
    </xf>
    <xf numFmtId="192" fontId="7" fillId="5" borderId="77" xfId="0" applyNumberFormat="1" applyFont="1" applyFill="1" applyBorder="1" applyAlignment="1">
      <alignment horizontal="center"/>
    </xf>
    <xf numFmtId="171" fontId="7" fillId="5" borderId="78" xfId="0" applyNumberFormat="1" applyFont="1" applyFill="1" applyBorder="1" applyAlignment="1">
      <alignment horizontal="center"/>
    </xf>
    <xf numFmtId="178" fontId="7" fillId="5" borderId="99" xfId="0" applyNumberFormat="1" applyFont="1" applyFill="1" applyBorder="1" applyAlignment="1">
      <alignment horizontal="center"/>
    </xf>
    <xf numFmtId="197" fontId="7" fillId="5" borderId="100" xfId="0" applyNumberFormat="1" applyFont="1" applyFill="1" applyBorder="1" applyAlignment="1">
      <alignment horizontal="center"/>
    </xf>
    <xf numFmtId="0" fontId="10" fillId="5" borderId="55" xfId="0" applyFont="1" applyFill="1" applyBorder="1" applyAlignment="1">
      <alignment/>
    </xf>
    <xf numFmtId="0" fontId="10" fillId="5" borderId="53" xfId="0" applyFont="1" applyFill="1" applyBorder="1" applyAlignment="1">
      <alignment horizontal="center"/>
    </xf>
    <xf numFmtId="0" fontId="10" fillId="5" borderId="66" xfId="0" applyFont="1" applyFill="1" applyBorder="1" applyAlignment="1">
      <alignment/>
    </xf>
    <xf numFmtId="0" fontId="10" fillId="5" borderId="56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75" xfId="0" applyFont="1" applyFill="1" applyBorder="1" applyAlignment="1">
      <alignment horizontal="center"/>
    </xf>
    <xf numFmtId="167" fontId="7" fillId="5" borderId="99" xfId="0" applyNumberFormat="1" applyFont="1" applyFill="1" applyBorder="1" applyAlignment="1">
      <alignment horizontal="center"/>
    </xf>
    <xf numFmtId="171" fontId="7" fillId="5" borderId="67" xfId="0" applyNumberFormat="1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167" fontId="7" fillId="5" borderId="67" xfId="0" applyNumberFormat="1" applyFont="1" applyFill="1" applyBorder="1" applyAlignment="1">
      <alignment horizontal="center"/>
    </xf>
    <xf numFmtId="167" fontId="7" fillId="5" borderId="100" xfId="0" applyNumberFormat="1" applyFont="1" applyFill="1" applyBorder="1" applyAlignment="1">
      <alignment horizontal="center"/>
    </xf>
    <xf numFmtId="171" fontId="7" fillId="5" borderId="71" xfId="0" applyNumberFormat="1" applyFont="1" applyFill="1" applyBorder="1" applyAlignment="1">
      <alignment horizontal="center"/>
    </xf>
    <xf numFmtId="0" fontId="7" fillId="5" borderId="71" xfId="0" applyFont="1" applyFill="1" applyBorder="1" applyAlignment="1">
      <alignment horizontal="center"/>
    </xf>
    <xf numFmtId="167" fontId="7" fillId="5" borderId="71" xfId="0" applyNumberFormat="1" applyFont="1" applyFill="1" applyBorder="1" applyAlignment="1">
      <alignment horizontal="center"/>
    </xf>
    <xf numFmtId="167" fontId="7" fillId="5" borderId="101" xfId="0" applyNumberFormat="1" applyFont="1" applyFill="1" applyBorder="1" applyAlignment="1">
      <alignment horizontal="center"/>
    </xf>
    <xf numFmtId="171" fontId="7" fillId="5" borderId="75" xfId="0" applyNumberFormat="1" applyFont="1" applyFill="1" applyBorder="1" applyAlignment="1">
      <alignment horizontal="center"/>
    </xf>
    <xf numFmtId="0" fontId="7" fillId="5" borderId="75" xfId="0" applyFont="1" applyFill="1" applyBorder="1" applyAlignment="1">
      <alignment horizontal="center"/>
    </xf>
    <xf numFmtId="167" fontId="7" fillId="5" borderId="75" xfId="0" applyNumberFormat="1" applyFont="1" applyFill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167" fontId="7" fillId="5" borderId="60" xfId="0" applyNumberFormat="1" applyFont="1" applyFill="1" applyBorder="1" applyAlignment="1">
      <alignment horizontal="right"/>
    </xf>
    <xf numFmtId="167" fontId="7" fillId="5" borderId="97" xfId="0" applyNumberFormat="1" applyFont="1" applyFill="1" applyBorder="1" applyAlignment="1">
      <alignment horizontal="right"/>
    </xf>
    <xf numFmtId="167" fontId="7" fillId="5" borderId="98" xfId="0" applyNumberFormat="1" applyFont="1" applyFill="1" applyBorder="1" applyAlignment="1">
      <alignment horizontal="right"/>
    </xf>
    <xf numFmtId="198" fontId="7" fillId="5" borderId="60" xfId="0" applyNumberFormat="1" applyFont="1" applyFill="1" applyBorder="1" applyAlignment="1">
      <alignment horizontal="left"/>
    </xf>
    <xf numFmtId="198" fontId="7" fillId="5" borderId="97" xfId="0" applyNumberFormat="1" applyFont="1" applyFill="1" applyBorder="1" applyAlignment="1">
      <alignment horizontal="left"/>
    </xf>
    <xf numFmtId="198" fontId="7" fillId="5" borderId="98" xfId="0" applyNumberFormat="1" applyFont="1" applyFill="1" applyBorder="1" applyAlignment="1">
      <alignment horizontal="left"/>
    </xf>
    <xf numFmtId="168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9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172" fontId="0" fillId="0" borderId="104" xfId="0" applyNumberFormat="1" applyBorder="1" applyAlignment="1" quotePrefix="1">
      <alignment horizontal="center"/>
    </xf>
    <xf numFmtId="168" fontId="0" fillId="0" borderId="105" xfId="0" applyNumberFormat="1" applyBorder="1" applyAlignment="1" quotePrefix="1">
      <alignment horizontal="center"/>
    </xf>
    <xf numFmtId="172" fontId="2" fillId="0" borderId="19" xfId="0" applyNumberFormat="1" applyFont="1" applyBorder="1" applyAlignment="1">
      <alignment horizontal="center"/>
    </xf>
    <xf numFmtId="171" fontId="2" fillId="0" borderId="106" xfId="0" applyNumberFormat="1" applyFont="1" applyBorder="1" applyAlignment="1">
      <alignment horizontal="center"/>
    </xf>
    <xf numFmtId="165" fontId="0" fillId="0" borderId="10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71" fontId="0" fillId="0" borderId="106" xfId="0" applyNumberFormat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199" fontId="7" fillId="5" borderId="66" xfId="0" applyNumberFormat="1" applyFont="1" applyFill="1" applyBorder="1" applyAlignment="1">
      <alignment horizontal="center"/>
    </xf>
    <xf numFmtId="199" fontId="7" fillId="5" borderId="70" xfId="0" applyNumberFormat="1" applyFont="1" applyFill="1" applyBorder="1" applyAlignment="1">
      <alignment horizontal="center"/>
    </xf>
    <xf numFmtId="199" fontId="7" fillId="5" borderId="73" xfId="0" applyNumberFormat="1" applyFont="1" applyFill="1" applyBorder="1" applyAlignment="1">
      <alignment horizontal="center"/>
    </xf>
    <xf numFmtId="0" fontId="10" fillId="5" borderId="84" xfId="0" applyFont="1" applyFill="1" applyBorder="1" applyAlignment="1">
      <alignment horizontal="center"/>
    </xf>
    <xf numFmtId="0" fontId="0" fillId="5" borderId="107" xfId="0" applyFill="1" applyBorder="1" applyAlignment="1">
      <alignment/>
    </xf>
    <xf numFmtId="0" fontId="7" fillId="5" borderId="68" xfId="0" applyFont="1" applyFill="1" applyBorder="1" applyAlignment="1">
      <alignment horizontal="center"/>
    </xf>
    <xf numFmtId="0" fontId="7" fillId="5" borderId="108" xfId="0" applyFont="1" applyFill="1" applyBorder="1" applyAlignment="1">
      <alignment horizontal="center"/>
    </xf>
    <xf numFmtId="0" fontId="0" fillId="0" borderId="53" xfId="0" applyBorder="1" applyAlignment="1">
      <alignment/>
    </xf>
    <xf numFmtId="167" fontId="0" fillId="0" borderId="7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202" fontId="8" fillId="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53" xfId="0" applyFont="1" applyBorder="1" applyAlignment="1">
      <alignment/>
    </xf>
    <xf numFmtId="0" fontId="0" fillId="0" borderId="51" xfId="0" applyBorder="1" applyAlignment="1">
      <alignment/>
    </xf>
    <xf numFmtId="0" fontId="10" fillId="0" borderId="0" xfId="0" applyFont="1" applyBorder="1" applyAlignment="1">
      <alignment/>
    </xf>
    <xf numFmtId="0" fontId="0" fillId="0" borderId="85" xfId="0" applyBorder="1" applyAlignment="1">
      <alignment/>
    </xf>
    <xf numFmtId="0" fontId="10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7" fillId="5" borderId="101" xfId="0" applyFont="1" applyFill="1" applyBorder="1" applyAlignment="1">
      <alignment horizontal="center"/>
    </xf>
    <xf numFmtId="198" fontId="7" fillId="5" borderId="74" xfId="0" applyNumberFormat="1" applyFont="1" applyFill="1" applyBorder="1" applyAlignment="1">
      <alignment horizontal="left"/>
    </xf>
    <xf numFmtId="199" fontId="7" fillId="5" borderId="108" xfId="0" applyNumberFormat="1" applyFont="1" applyFill="1" applyBorder="1" applyAlignment="1">
      <alignment horizont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0" fillId="5" borderId="26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27" xfId="0" applyFill="1" applyBorder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10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/>
    </xf>
    <xf numFmtId="0" fontId="8" fillId="5" borderId="26" xfId="0" applyFont="1" applyFill="1" applyBorder="1" applyAlignment="1">
      <alignment/>
    </xf>
    <xf numFmtId="195" fontId="7" fillId="5" borderId="109" xfId="0" applyNumberFormat="1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191" fontId="8" fillId="5" borderId="0" xfId="0" applyNumberFormat="1" applyFont="1" applyFill="1" applyBorder="1" applyAlignment="1">
      <alignment horizontal="left"/>
    </xf>
    <xf numFmtId="190" fontId="8" fillId="5" borderId="0" xfId="0" applyNumberFormat="1" applyFont="1" applyFill="1" applyBorder="1" applyAlignment="1">
      <alignment horizontal="left"/>
    </xf>
    <xf numFmtId="199" fontId="8" fillId="5" borderId="0" xfId="0" applyNumberFormat="1" applyFont="1" applyFill="1" applyBorder="1" applyAlignment="1">
      <alignment horizontal="left"/>
    </xf>
    <xf numFmtId="194" fontId="8" fillId="5" borderId="0" xfId="0" applyNumberFormat="1" applyFont="1" applyFill="1" applyBorder="1" applyAlignment="1">
      <alignment horizontal="left"/>
    </xf>
    <xf numFmtId="192" fontId="8" fillId="5" borderId="0" xfId="0" applyNumberFormat="1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171" fontId="0" fillId="5" borderId="12" xfId="0" applyNumberFormat="1" applyFill="1" applyBorder="1" applyAlignment="1">
      <alignment horizontal="center"/>
    </xf>
    <xf numFmtId="0" fontId="0" fillId="5" borderId="110" xfId="0" applyFill="1" applyBorder="1" applyAlignment="1">
      <alignment horizontal="center"/>
    </xf>
    <xf numFmtId="171" fontId="0" fillId="5" borderId="111" xfId="0" applyNumberFormat="1" applyFill="1" applyBorder="1" applyAlignment="1">
      <alignment horizontal="center"/>
    </xf>
    <xf numFmtId="170" fontId="0" fillId="5" borderId="12" xfId="0" applyNumberFormat="1" applyFill="1" applyBorder="1" applyAlignment="1">
      <alignment horizontal="center"/>
    </xf>
    <xf numFmtId="204" fontId="0" fillId="5" borderId="12" xfId="0" applyNumberFormat="1" applyFill="1" applyBorder="1" applyAlignment="1">
      <alignment horizontal="center"/>
    </xf>
    <xf numFmtId="0" fontId="23" fillId="5" borderId="49" xfId="0" applyFont="1" applyFill="1" applyBorder="1" applyAlignment="1">
      <alignment horizontal="right"/>
    </xf>
    <xf numFmtId="202" fontId="2" fillId="5" borderId="0" xfId="0" applyNumberFormat="1" applyFont="1" applyFill="1" applyBorder="1" applyAlignment="1">
      <alignment/>
    </xf>
    <xf numFmtId="193" fontId="2" fillId="5" borderId="0" xfId="0" applyNumberFormat="1" applyFont="1" applyFill="1" applyBorder="1" applyAlignment="1">
      <alignment horizontal="left"/>
    </xf>
    <xf numFmtId="0" fontId="2" fillId="5" borderId="50" xfId="0" applyFont="1" applyFill="1" applyBorder="1" applyAlignment="1">
      <alignment/>
    </xf>
    <xf numFmtId="0" fontId="23" fillId="5" borderId="47" xfId="0" applyFont="1" applyFill="1" applyBorder="1" applyAlignment="1">
      <alignment horizontal="right"/>
    </xf>
    <xf numFmtId="203" fontId="2" fillId="5" borderId="39" xfId="0" applyNumberFormat="1" applyFont="1" applyFill="1" applyBorder="1" applyAlignment="1">
      <alignment/>
    </xf>
    <xf numFmtId="193" fontId="2" fillId="5" borderId="39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205" fontId="2" fillId="0" borderId="0" xfId="0" applyNumberFormat="1" applyFont="1" applyAlignment="1">
      <alignment horizontal="left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39" xfId="0" applyFont="1" applyFill="1" applyBorder="1" applyAlignment="1">
      <alignment/>
    </xf>
    <xf numFmtId="0" fontId="2" fillId="5" borderId="39" xfId="0" applyFont="1" applyFill="1" applyBorder="1" applyAlignment="1">
      <alignment/>
    </xf>
    <xf numFmtId="0" fontId="0" fillId="5" borderId="48" xfId="0" applyFill="1" applyBorder="1" applyAlignment="1">
      <alignment/>
    </xf>
    <xf numFmtId="0" fontId="2" fillId="5" borderId="47" xfId="0" applyFont="1" applyFill="1" applyBorder="1" applyAlignment="1">
      <alignment/>
    </xf>
    <xf numFmtId="0" fontId="0" fillId="5" borderId="39" xfId="0" applyFill="1" applyBorder="1" applyAlignment="1">
      <alignment/>
    </xf>
    <xf numFmtId="206" fontId="2" fillId="5" borderId="0" xfId="0" applyNumberFormat="1" applyFont="1" applyFill="1" applyBorder="1" applyAlignment="1">
      <alignment/>
    </xf>
    <xf numFmtId="207" fontId="2" fillId="5" borderId="0" xfId="0" applyNumberFormat="1" applyFont="1" applyFill="1" applyBorder="1" applyAlignment="1">
      <alignment/>
    </xf>
    <xf numFmtId="0" fontId="13" fillId="5" borderId="39" xfId="0" applyFont="1" applyFill="1" applyBorder="1" applyAlignment="1">
      <alignment horizontal="left"/>
    </xf>
    <xf numFmtId="0" fontId="0" fillId="5" borderId="2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71" fontId="0" fillId="5" borderId="28" xfId="0" applyNumberFormat="1" applyFill="1" applyBorder="1" applyAlignment="1">
      <alignment horizontal="center"/>
    </xf>
    <xf numFmtId="171" fontId="0" fillId="5" borderId="0" xfId="0" applyNumberFormat="1" applyFill="1" applyBorder="1" applyAlignment="1">
      <alignment horizontal="center"/>
    </xf>
    <xf numFmtId="170" fontId="0" fillId="5" borderId="0" xfId="0" applyNumberFormat="1" applyFill="1" applyBorder="1" applyAlignment="1">
      <alignment horizontal="center"/>
    </xf>
    <xf numFmtId="195" fontId="7" fillId="5" borderId="73" xfId="0" applyNumberFormat="1" applyFont="1" applyFill="1" applyBorder="1" applyAlignment="1">
      <alignment horizontal="center"/>
    </xf>
    <xf numFmtId="0" fontId="7" fillId="5" borderId="112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8" fillId="5" borderId="0" xfId="0" applyFont="1" applyFill="1" applyBorder="1" applyAlignment="1" quotePrefix="1">
      <alignment horizontal="left"/>
    </xf>
    <xf numFmtId="0" fontId="7" fillId="0" borderId="55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203" fontId="8" fillId="5" borderId="0" xfId="0" applyNumberFormat="1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24" fillId="5" borderId="41" xfId="0" applyFont="1" applyFill="1" applyBorder="1" applyAlignment="1">
      <alignment/>
    </xf>
    <xf numFmtId="17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68" fontId="2" fillId="0" borderId="0" xfId="0" applyNumberFormat="1" applyFont="1" applyAlignment="1" quotePrefix="1">
      <alignment horizontal="left"/>
    </xf>
    <xf numFmtId="208" fontId="0" fillId="5" borderId="110" xfId="0" applyNumberFormat="1" applyFill="1" applyBorder="1" applyAlignment="1">
      <alignment horizontal="center"/>
    </xf>
    <xf numFmtId="0" fontId="25" fillId="0" borderId="113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14" xfId="0" applyFont="1" applyBorder="1" applyAlignment="1">
      <alignment horizontal="center"/>
    </xf>
    <xf numFmtId="0" fontId="26" fillId="0" borderId="0" xfId="0" applyFont="1" applyAlignment="1">
      <alignment/>
    </xf>
    <xf numFmtId="197" fontId="25" fillId="0" borderId="113" xfId="0" applyNumberFormat="1" applyFont="1" applyBorder="1" applyAlignment="1">
      <alignment horizontal="center"/>
    </xf>
    <xf numFmtId="195" fontId="25" fillId="0" borderId="33" xfId="0" applyNumberFormat="1" applyFont="1" applyBorder="1" applyAlignment="1">
      <alignment horizontal="center"/>
    </xf>
    <xf numFmtId="196" fontId="25" fillId="0" borderId="114" xfId="0" applyNumberFormat="1" applyFont="1" applyBorder="1" applyAlignment="1">
      <alignment horizontal="center"/>
    </xf>
    <xf numFmtId="200" fontId="25" fillId="0" borderId="113" xfId="0" applyNumberFormat="1" applyFont="1" applyBorder="1" applyAlignment="1">
      <alignment horizontal="center"/>
    </xf>
    <xf numFmtId="198" fontId="25" fillId="0" borderId="33" xfId="0" applyNumberFormat="1" applyFont="1" applyBorder="1" applyAlignment="1">
      <alignment horizontal="center"/>
    </xf>
    <xf numFmtId="167" fontId="25" fillId="0" borderId="113" xfId="0" applyNumberFormat="1" applyFont="1" applyBorder="1" applyAlignment="1">
      <alignment horizontal="center"/>
    </xf>
    <xf numFmtId="0" fontId="25" fillId="0" borderId="11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6" fillId="0" borderId="0" xfId="0" applyFont="1" applyAlignment="1">
      <alignment horizontal="center"/>
    </xf>
    <xf numFmtId="192" fontId="7" fillId="5" borderId="0" xfId="0" applyNumberFormat="1" applyFont="1" applyFill="1" applyBorder="1" applyAlignment="1">
      <alignment horizontal="center"/>
    </xf>
    <xf numFmtId="171" fontId="7" fillId="5" borderId="0" xfId="0" applyNumberFormat="1" applyFont="1" applyFill="1" applyBorder="1" applyAlignment="1">
      <alignment horizontal="center"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 horizontal="right"/>
    </xf>
    <xf numFmtId="167" fontId="2" fillId="5" borderId="0" xfId="0" applyNumberFormat="1" applyFont="1" applyFill="1" applyAlignment="1">
      <alignment horizontal="right"/>
    </xf>
    <xf numFmtId="171" fontId="2" fillId="5" borderId="0" xfId="0" applyNumberFormat="1" applyFont="1" applyFill="1" applyAlignment="1">
      <alignment horizontal="left"/>
    </xf>
    <xf numFmtId="0" fontId="8" fillId="5" borderId="0" xfId="0" applyFont="1" applyFill="1" applyBorder="1" applyAlignment="1">
      <alignment horizontal="center"/>
    </xf>
    <xf numFmtId="0" fontId="7" fillId="5" borderId="55" xfId="0" applyFont="1" applyFill="1" applyBorder="1" applyAlignment="1">
      <alignment/>
    </xf>
    <xf numFmtId="0" fontId="7" fillId="5" borderId="53" xfId="0" applyFont="1" applyFill="1" applyBorder="1" applyAlignment="1">
      <alignment/>
    </xf>
    <xf numFmtId="0" fontId="7" fillId="5" borderId="52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10" fillId="5" borderId="55" xfId="0" applyFont="1" applyFill="1" applyBorder="1" applyAlignment="1">
      <alignment horizontal="center"/>
    </xf>
    <xf numFmtId="199" fontId="16" fillId="5" borderId="56" xfId="0" applyNumberFormat="1" applyFont="1" applyFill="1" applyBorder="1" applyAlignment="1">
      <alignment horizontal="center"/>
    </xf>
    <xf numFmtId="199" fontId="16" fillId="5" borderId="54" xfId="0" applyNumberFormat="1" applyFont="1" applyFill="1" applyBorder="1" applyAlignment="1">
      <alignment horizontal="center"/>
    </xf>
    <xf numFmtId="170" fontId="16" fillId="5" borderId="54" xfId="0" applyNumberFormat="1" applyFont="1" applyFill="1" applyBorder="1" applyAlignment="1">
      <alignment horizontal="center"/>
    </xf>
    <xf numFmtId="170" fontId="16" fillId="5" borderId="57" xfId="0" applyNumberFormat="1" applyFont="1" applyFill="1" applyBorder="1" applyAlignment="1">
      <alignment horizontal="center"/>
    </xf>
    <xf numFmtId="173" fontId="2" fillId="5" borderId="0" xfId="0" applyNumberFormat="1" applyFont="1" applyFill="1" applyBorder="1" applyAlignment="1">
      <alignment horizontal="right"/>
    </xf>
    <xf numFmtId="167" fontId="0" fillId="5" borderId="0" xfId="0" applyNumberFormat="1" applyFill="1" applyBorder="1" applyAlignment="1">
      <alignment horizontal="right"/>
    </xf>
    <xf numFmtId="171" fontId="0" fillId="5" borderId="0" xfId="0" applyNumberForma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181" fontId="0" fillId="0" borderId="10" xfId="0" applyNumberFormat="1" applyBorder="1" applyAlignment="1">
      <alignment/>
    </xf>
    <xf numFmtId="171" fontId="0" fillId="0" borderId="10" xfId="0" applyNumberFormat="1" applyBorder="1" applyAlignment="1">
      <alignment horizontal="left"/>
    </xf>
    <xf numFmtId="181" fontId="0" fillId="0" borderId="0" xfId="0" applyNumberFormat="1" applyBorder="1" applyAlignment="1">
      <alignment/>
    </xf>
    <xf numFmtId="0" fontId="3" fillId="0" borderId="11" xfId="0" applyFont="1" applyBorder="1" applyAlignment="1">
      <alignment horizontal="left"/>
    </xf>
    <xf numFmtId="166" fontId="10" fillId="0" borderId="26" xfId="0" applyNumberFormat="1" applyFont="1" applyBorder="1" applyAlignment="1">
      <alignment horizontal="left"/>
    </xf>
    <xf numFmtId="166" fontId="10" fillId="6" borderId="10" xfId="0" applyNumberFormat="1" applyFont="1" applyFill="1" applyBorder="1" applyAlignment="1">
      <alignment horizontal="left"/>
    </xf>
    <xf numFmtId="166" fontId="0" fillId="6" borderId="0" xfId="0" applyNumberFormat="1" applyFill="1" applyBorder="1" applyAlignment="1">
      <alignment horizontal="left"/>
    </xf>
    <xf numFmtId="2" fontId="0" fillId="6" borderId="0" xfId="0" applyNumberFormat="1" applyFill="1" applyAlignment="1" quotePrefix="1">
      <alignment horizontal="center"/>
    </xf>
    <xf numFmtId="199" fontId="2" fillId="5" borderId="0" xfId="0" applyNumberFormat="1" applyFont="1" applyFill="1" applyBorder="1" applyAlignment="1">
      <alignment horizontal="center"/>
    </xf>
    <xf numFmtId="198" fontId="25" fillId="0" borderId="33" xfId="0" applyNumberFormat="1" applyFont="1" applyBorder="1" applyAlignment="1">
      <alignment horizontal="center"/>
    </xf>
    <xf numFmtId="198" fontId="25" fillId="0" borderId="114" xfId="0" applyNumberFormat="1" applyFont="1" applyBorder="1" applyAlignment="1">
      <alignment horizontal="center"/>
    </xf>
    <xf numFmtId="0" fontId="25" fillId="0" borderId="113" xfId="0" applyFont="1" applyBorder="1" applyAlignment="1">
      <alignment horizontal="center"/>
    </xf>
    <xf numFmtId="0" fontId="25" fillId="0" borderId="114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33" xfId="0" applyNumberFormat="1" applyFont="1" applyBorder="1" applyAlignment="1">
      <alignment horizontal="center"/>
    </xf>
    <xf numFmtId="14" fontId="25" fillId="0" borderId="114" xfId="0" applyNumberFormat="1" applyFont="1" applyBorder="1" applyAlignment="1">
      <alignment horizontal="center"/>
    </xf>
    <xf numFmtId="170" fontId="25" fillId="0" borderId="113" xfId="0" applyNumberFormat="1" applyFont="1" applyBorder="1" applyAlignment="1">
      <alignment horizontal="center"/>
    </xf>
    <xf numFmtId="170" fontId="25" fillId="0" borderId="33" xfId="0" applyNumberFormat="1" applyFont="1" applyBorder="1" applyAlignment="1">
      <alignment horizontal="center"/>
    </xf>
    <xf numFmtId="170" fontId="25" fillId="0" borderId="114" xfId="0" applyNumberFormat="1" applyFont="1" applyBorder="1" applyAlignment="1">
      <alignment horizontal="center"/>
    </xf>
    <xf numFmtId="171" fontId="25" fillId="0" borderId="33" xfId="0" applyNumberFormat="1" applyFont="1" applyBorder="1" applyAlignment="1">
      <alignment horizontal="center"/>
    </xf>
    <xf numFmtId="171" fontId="25" fillId="0" borderId="11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75"/>
          <c:w val="0.61775"/>
          <c:h val="0.96475"/>
        </c:manualLayout>
      </c:layout>
      <c:scatterChart>
        <c:scatterStyle val="smooth"/>
        <c:varyColors val="0"/>
        <c:ser>
          <c:idx val="0"/>
          <c:order val="0"/>
          <c:tx>
            <c:strRef>
              <c:f>Sun!$F$112</c:f>
              <c:strCache>
                <c:ptCount val="1"/>
                <c:pt idx="0">
                  <c:v>  A1=167,8°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Sun!$C$124:$C$144</c:f>
              <c:numCache>
                <c:ptCount val="21"/>
                <c:pt idx="0">
                  <c:v>46.2719684991266</c:v>
                </c:pt>
                <c:pt idx="1">
                  <c:v>41.644771649213936</c:v>
                </c:pt>
                <c:pt idx="2">
                  <c:v>37.01757479930128</c:v>
                </c:pt>
                <c:pt idx="3">
                  <c:v>32.39037794938862</c:v>
                </c:pt>
                <c:pt idx="4">
                  <c:v>27.763181099475958</c:v>
                </c:pt>
                <c:pt idx="5">
                  <c:v>23.1359842495633</c:v>
                </c:pt>
                <c:pt idx="6">
                  <c:v>18.50878739965064</c:v>
                </c:pt>
                <c:pt idx="7">
                  <c:v>13.881590549737979</c:v>
                </c:pt>
                <c:pt idx="8">
                  <c:v>9.25439369982532</c:v>
                </c:pt>
                <c:pt idx="9">
                  <c:v>4.62719684991266</c:v>
                </c:pt>
                <c:pt idx="10">
                  <c:v>0</c:v>
                </c:pt>
                <c:pt idx="11">
                  <c:v>-4.62719684991266</c:v>
                </c:pt>
                <c:pt idx="12">
                  <c:v>-9.25439369982532</c:v>
                </c:pt>
                <c:pt idx="13">
                  <c:v>-13.881590549737979</c:v>
                </c:pt>
                <c:pt idx="14">
                  <c:v>-18.50878739965064</c:v>
                </c:pt>
                <c:pt idx="15">
                  <c:v>-23.1359842495633</c:v>
                </c:pt>
                <c:pt idx="16">
                  <c:v>-27.763181099475958</c:v>
                </c:pt>
                <c:pt idx="17">
                  <c:v>-32.39037794938862</c:v>
                </c:pt>
                <c:pt idx="18">
                  <c:v>-37.01757479930128</c:v>
                </c:pt>
                <c:pt idx="19">
                  <c:v>-41.644771649213936</c:v>
                </c:pt>
                <c:pt idx="20">
                  <c:v>-46.2719684991266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Sun!$F$111</c:f>
              <c:strCache>
                <c:ptCount val="1"/>
                <c:pt idx="0">
                  <c:v>  n1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Sun!$D$124:$D$144</c:f>
              <c:numCache>
                <c:ptCount val="21"/>
                <c:pt idx="0">
                  <c:v>-2.9747150052500224</c:v>
                </c:pt>
                <c:pt idx="1">
                  <c:v>-2.7586014418041804</c:v>
                </c:pt>
                <c:pt idx="2">
                  <c:v>-2.5424878783583384</c:v>
                </c:pt>
                <c:pt idx="3">
                  <c:v>-2.3263743149124965</c:v>
                </c:pt>
                <c:pt idx="4">
                  <c:v>-2.1102607514666545</c:v>
                </c:pt>
                <c:pt idx="5">
                  <c:v>-1.894147188020812</c:v>
                </c:pt>
                <c:pt idx="6">
                  <c:v>-1.67803362457497</c:v>
                </c:pt>
                <c:pt idx="7">
                  <c:v>-1.461920061129128</c:v>
                </c:pt>
                <c:pt idx="8">
                  <c:v>-1.245806497683286</c:v>
                </c:pt>
                <c:pt idx="9">
                  <c:v>-1.0296929342374441</c:v>
                </c:pt>
                <c:pt idx="10">
                  <c:v>-0.813579370791602</c:v>
                </c:pt>
                <c:pt idx="11">
                  <c:v>-0.5974658073457599</c:v>
                </c:pt>
                <c:pt idx="12">
                  <c:v>-0.38135224389991795</c:v>
                </c:pt>
                <c:pt idx="13">
                  <c:v>-0.16523868045407586</c:v>
                </c:pt>
                <c:pt idx="14">
                  <c:v>0.050874882991766124</c:v>
                </c:pt>
                <c:pt idx="15">
                  <c:v>0.2669884464376081</c:v>
                </c:pt>
                <c:pt idx="16">
                  <c:v>0.4831020098834503</c:v>
                </c:pt>
                <c:pt idx="17">
                  <c:v>0.6992155733292923</c:v>
                </c:pt>
                <c:pt idx="18">
                  <c:v>0.9153291367751343</c:v>
                </c:pt>
                <c:pt idx="19">
                  <c:v>1.1314427002209761</c:v>
                </c:pt>
                <c:pt idx="20">
                  <c:v>1.3475562636668181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Sun!$L$112</c:f>
              <c:strCache>
                <c:ptCount val="1"/>
                <c:pt idx="0">
                  <c:v>  A2=212,9°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Sun!$I$124:$I$144</c:f>
              <c:numCache>
                <c:ptCount val="21"/>
                <c:pt idx="0">
                  <c:v>-15.452378184763981</c:v>
                </c:pt>
                <c:pt idx="1">
                  <c:v>-13.907140366287583</c:v>
                </c:pt>
                <c:pt idx="2">
                  <c:v>-12.361902547811185</c:v>
                </c:pt>
                <c:pt idx="3">
                  <c:v>-10.816664729334788</c:v>
                </c:pt>
                <c:pt idx="4">
                  <c:v>-9.27142691085839</c:v>
                </c:pt>
                <c:pt idx="5">
                  <c:v>-7.726189092381991</c:v>
                </c:pt>
                <c:pt idx="6">
                  <c:v>-6.180951273905593</c:v>
                </c:pt>
                <c:pt idx="7">
                  <c:v>-4.635713455429195</c:v>
                </c:pt>
                <c:pt idx="8">
                  <c:v>-3.0904756369527964</c:v>
                </c:pt>
                <c:pt idx="9">
                  <c:v>-1.5452378184763982</c:v>
                </c:pt>
                <c:pt idx="10">
                  <c:v>0</c:v>
                </c:pt>
                <c:pt idx="11">
                  <c:v>1.5452378184763982</c:v>
                </c:pt>
                <c:pt idx="12">
                  <c:v>3.0904756369527964</c:v>
                </c:pt>
                <c:pt idx="13">
                  <c:v>4.635713455429195</c:v>
                </c:pt>
                <c:pt idx="14">
                  <c:v>6.180951273905593</c:v>
                </c:pt>
                <c:pt idx="15">
                  <c:v>7.726189092381991</c:v>
                </c:pt>
                <c:pt idx="16">
                  <c:v>9.27142691085839</c:v>
                </c:pt>
                <c:pt idx="17">
                  <c:v>10.816664729334788</c:v>
                </c:pt>
                <c:pt idx="18">
                  <c:v>12.361902547811185</c:v>
                </c:pt>
                <c:pt idx="19">
                  <c:v>13.907140366287583</c:v>
                </c:pt>
                <c:pt idx="20">
                  <c:v>15.452378184763981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Sun!$L$111</c:f>
              <c:strCache>
                <c:ptCount val="1"/>
                <c:pt idx="0">
                  <c:v>  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Sun!$J$124:$J$144</c:f>
              <c:numCache>
                <c:ptCount val="21"/>
                <c:pt idx="0">
                  <c:v>7.386601282441369</c:v>
                </c:pt>
                <c:pt idx="1">
                  <c:v>6.739451705824096</c:v>
                </c:pt>
                <c:pt idx="2">
                  <c:v>6.092302129206822</c:v>
                </c:pt>
                <c:pt idx="3">
                  <c:v>5.4451525525895486</c:v>
                </c:pt>
                <c:pt idx="4">
                  <c:v>4.798002975972276</c:v>
                </c:pt>
                <c:pt idx="5">
                  <c:v>4.150853399355003</c:v>
                </c:pt>
                <c:pt idx="6">
                  <c:v>3.5037038227377297</c:v>
                </c:pt>
                <c:pt idx="7">
                  <c:v>2.8565542461204565</c:v>
                </c:pt>
                <c:pt idx="8">
                  <c:v>2.2094046695031833</c:v>
                </c:pt>
                <c:pt idx="9">
                  <c:v>1.56225509288591</c:v>
                </c:pt>
                <c:pt idx="10">
                  <c:v>0.9151055162686367</c:v>
                </c:pt>
                <c:pt idx="11">
                  <c:v>0.26795593965136344</c:v>
                </c:pt>
                <c:pt idx="12">
                  <c:v>-0.3791936369659098</c:v>
                </c:pt>
                <c:pt idx="13">
                  <c:v>-1.026343213583183</c:v>
                </c:pt>
                <c:pt idx="14">
                  <c:v>-1.6734927902004562</c:v>
                </c:pt>
                <c:pt idx="15">
                  <c:v>-2.3206423668177294</c:v>
                </c:pt>
                <c:pt idx="16">
                  <c:v>-2.9677919434350026</c:v>
                </c:pt>
                <c:pt idx="17">
                  <c:v>-3.6149415200522754</c:v>
                </c:pt>
                <c:pt idx="18">
                  <c:v>-4.2620910966695496</c:v>
                </c:pt>
                <c:pt idx="19">
                  <c:v>-4.909240673286823</c:v>
                </c:pt>
                <c:pt idx="20">
                  <c:v>-5.556390249904096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Sun!$R$112</c:f>
              <c:strCache>
                <c:ptCount val="1"/>
                <c:pt idx="0">
                  <c:v>  A3=239,3°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Sun!$O$124:$O$144</c:f>
              <c:numCache>
                <c:ptCount val="21"/>
                <c:pt idx="0">
                  <c:v>-5.941497610152444</c:v>
                </c:pt>
                <c:pt idx="1">
                  <c:v>-5.3473478491372</c:v>
                </c:pt>
                <c:pt idx="2">
                  <c:v>-4.753198088121955</c:v>
                </c:pt>
                <c:pt idx="3">
                  <c:v>-4.159048327106711</c:v>
                </c:pt>
                <c:pt idx="4">
                  <c:v>-3.5648985660914665</c:v>
                </c:pt>
                <c:pt idx="5">
                  <c:v>-2.970748805076222</c:v>
                </c:pt>
                <c:pt idx="6">
                  <c:v>-2.3765990440609777</c:v>
                </c:pt>
                <c:pt idx="7">
                  <c:v>-1.7824492830457332</c:v>
                </c:pt>
                <c:pt idx="8">
                  <c:v>-1.1882995220304888</c:v>
                </c:pt>
                <c:pt idx="9">
                  <c:v>-0.5941497610152444</c:v>
                </c:pt>
                <c:pt idx="10">
                  <c:v>0</c:v>
                </c:pt>
                <c:pt idx="11">
                  <c:v>0.5941497610152444</c:v>
                </c:pt>
                <c:pt idx="12">
                  <c:v>1.1882995220304888</c:v>
                </c:pt>
                <c:pt idx="13">
                  <c:v>1.7824492830457332</c:v>
                </c:pt>
                <c:pt idx="14">
                  <c:v>2.3765990440609777</c:v>
                </c:pt>
                <c:pt idx="15">
                  <c:v>2.970748805076222</c:v>
                </c:pt>
                <c:pt idx="16">
                  <c:v>3.5648985660914665</c:v>
                </c:pt>
                <c:pt idx="17">
                  <c:v>4.159048327106711</c:v>
                </c:pt>
                <c:pt idx="18">
                  <c:v>4.753198088121955</c:v>
                </c:pt>
                <c:pt idx="19">
                  <c:v>5.3473478491372</c:v>
                </c:pt>
                <c:pt idx="20">
                  <c:v>5.941497610152444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Sun!$R$111</c:f>
              <c:strCache>
                <c:ptCount val="1"/>
                <c:pt idx="0">
                  <c:v>  n3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Sun!$P$124:$P$144</c:f>
              <c:numCache>
                <c:ptCount val="21"/>
                <c:pt idx="0">
                  <c:v>9.999805018010383</c:v>
                </c:pt>
                <c:pt idx="1">
                  <c:v>8.316727676884696</c:v>
                </c:pt>
                <c:pt idx="2">
                  <c:v>6.633650335759009</c:v>
                </c:pt>
                <c:pt idx="3">
                  <c:v>4.950572994633323</c:v>
                </c:pt>
                <c:pt idx="4">
                  <c:v>3.267495653507636</c:v>
                </c:pt>
                <c:pt idx="5">
                  <c:v>1.584418312381949</c:v>
                </c:pt>
                <c:pt idx="6">
                  <c:v>-0.09865902874373766</c:v>
                </c:pt>
                <c:pt idx="7">
                  <c:v>-1.7817363698694244</c:v>
                </c:pt>
                <c:pt idx="8">
                  <c:v>-3.464813710995111</c:v>
                </c:pt>
                <c:pt idx="9">
                  <c:v>-5.147891052120798</c:v>
                </c:pt>
                <c:pt idx="10">
                  <c:v>-6.830968393246485</c:v>
                </c:pt>
                <c:pt idx="11">
                  <c:v>-8.514045734372171</c:v>
                </c:pt>
                <c:pt idx="12">
                  <c:v>-10.197123075497858</c:v>
                </c:pt>
                <c:pt idx="13">
                  <c:v>-11.880200416623545</c:v>
                </c:pt>
                <c:pt idx="14">
                  <c:v>-13.563277757749232</c:v>
                </c:pt>
                <c:pt idx="15">
                  <c:v>-15.246355098874918</c:v>
                </c:pt>
                <c:pt idx="16">
                  <c:v>-16.929432440000603</c:v>
                </c:pt>
                <c:pt idx="17">
                  <c:v>-18.612509781126292</c:v>
                </c:pt>
                <c:pt idx="18">
                  <c:v>-20.29558712225198</c:v>
                </c:pt>
                <c:pt idx="19">
                  <c:v>-21.978664463377665</c:v>
                </c:pt>
                <c:pt idx="20">
                  <c:v>-23.66174180450335</c:v>
                </c:pt>
              </c:numCache>
            </c:numRef>
          </c:yVal>
          <c:smooth val="1"/>
        </c:ser>
        <c:ser>
          <c:idx val="6"/>
          <c:order val="6"/>
          <c:tx>
            <c:v>  Position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Sun!$C$177</c:f>
              <c:numCache>
                <c:ptCount val="1"/>
                <c:pt idx="0">
                  <c:v>-2.170651681335513</c:v>
                </c:pt>
              </c:numCache>
            </c:numRef>
          </c:xVal>
          <c:yVal>
            <c:numRef>
              <c:f>Sun!$C$178</c:f>
              <c:numCache>
                <c:ptCount val="1"/>
                <c:pt idx="0">
                  <c:v>-0.1856740395769012</c:v>
                </c:pt>
              </c:numCache>
            </c:numRef>
          </c:yVal>
          <c:smooth val="1"/>
        </c:ser>
        <c:axId val="40212002"/>
        <c:axId val="26363699"/>
      </c:scatterChart>
      <c:valAx>
        <c:axId val="40212002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26363699"/>
        <c:crosses val="autoZero"/>
        <c:crossBetween val="midCat"/>
        <c:dispUnits/>
        <c:majorUnit val="5"/>
        <c:minorUnit val="1"/>
      </c:valAx>
      <c:valAx>
        <c:axId val="26363699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4021200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35625"/>
          <c:w val="0.16725"/>
          <c:h val="0.2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85"/>
          <c:w val="0.59025"/>
          <c:h val="0.959"/>
        </c:manualLayout>
      </c:layout>
      <c:scatterChart>
        <c:scatterStyle val="smooth"/>
        <c:varyColors val="0"/>
        <c:ser>
          <c:idx val="0"/>
          <c:order val="0"/>
          <c:tx>
            <c:strRef>
              <c:f>Sun!$F$112</c:f>
              <c:strCache>
                <c:ptCount val="1"/>
                <c:pt idx="0">
                  <c:v>  A1=167,8°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Sun!$C$124:$C$144</c:f>
              <c:numCache/>
            </c:numRef>
          </c:yVal>
          <c:smooth val="1"/>
        </c:ser>
        <c:ser>
          <c:idx val="1"/>
          <c:order val="1"/>
          <c:tx>
            <c:strRef>
              <c:f>Sun!$F$111</c:f>
              <c:strCache>
                <c:ptCount val="1"/>
                <c:pt idx="0">
                  <c:v>  n1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Sun!$D$124:$D$144</c:f>
              <c:numCache/>
            </c:numRef>
          </c:yVal>
          <c:smooth val="1"/>
        </c:ser>
        <c:ser>
          <c:idx val="2"/>
          <c:order val="2"/>
          <c:tx>
            <c:strRef>
              <c:f>Sun!$L$112</c:f>
              <c:strCache>
                <c:ptCount val="1"/>
                <c:pt idx="0">
                  <c:v>  A2=212,9°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Sun!$I$124:$I$144</c:f>
              <c:numCache/>
            </c:numRef>
          </c:yVal>
          <c:smooth val="1"/>
        </c:ser>
        <c:ser>
          <c:idx val="3"/>
          <c:order val="3"/>
          <c:tx>
            <c:strRef>
              <c:f>Sun!$L$111</c:f>
              <c:strCache>
                <c:ptCount val="1"/>
                <c:pt idx="0">
                  <c:v>  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Sun!$J$124:$J$144</c:f>
              <c:numCache/>
            </c:numRef>
          </c:yVal>
          <c:smooth val="1"/>
        </c:ser>
        <c:ser>
          <c:idx val="4"/>
          <c:order val="4"/>
          <c:tx>
            <c:strRef>
              <c:f>Sun!$R$112</c:f>
              <c:strCache>
                <c:ptCount val="1"/>
                <c:pt idx="0">
                  <c:v>  A3=239,3°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Sun!$O$124:$O$144</c:f>
              <c:numCache/>
            </c:numRef>
          </c:yVal>
          <c:smooth val="1"/>
        </c:ser>
        <c:ser>
          <c:idx val="5"/>
          <c:order val="5"/>
          <c:tx>
            <c:strRef>
              <c:f>Sun!$R$111</c:f>
              <c:strCache>
                <c:ptCount val="1"/>
                <c:pt idx="0">
                  <c:v>  n3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Sun!$P$124:$P$144</c:f>
              <c:numCache/>
            </c:numRef>
          </c:yVal>
          <c:smooth val="1"/>
        </c:ser>
        <c:ser>
          <c:idx val="6"/>
          <c:order val="6"/>
          <c:tx>
            <c:v>  Position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Sun!$C$177</c:f>
              <c:numCache/>
            </c:numRef>
          </c:xVal>
          <c:yVal>
            <c:numRef>
              <c:f>Sun!$C$178</c:f>
              <c:numCache/>
            </c:numRef>
          </c:yVal>
          <c:smooth val="1"/>
        </c:ser>
        <c:axId val="35946700"/>
        <c:axId val="55084845"/>
      </c:scatterChart>
      <c:valAx>
        <c:axId val="35946700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55084845"/>
        <c:crosses val="autoZero"/>
        <c:crossBetween val="midCat"/>
        <c:dispUnits/>
        <c:majorUnit val="5"/>
        <c:minorUnit val="1"/>
      </c:valAx>
      <c:valAx>
        <c:axId val="55084845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3594670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5"/>
          <c:y val="0.3265"/>
          <c:w val="0.2115"/>
          <c:h val="0.37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775"/>
          <c:w val="0.6185"/>
          <c:h val="0.9645"/>
        </c:manualLayout>
      </c:layout>
      <c:scatterChart>
        <c:scatterStyle val="smooth"/>
        <c:varyColors val="0"/>
        <c:ser>
          <c:idx val="0"/>
          <c:order val="0"/>
          <c:tx>
            <c:strRef>
              <c:f>Stars!$E$141:$F$141</c:f>
              <c:strCache>
                <c:ptCount val="1"/>
                <c:pt idx="0">
                  <c:v>   A1= 226,3°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Stars!$C$141:$C$161</c:f>
              <c:numCache>
                <c:ptCount val="21"/>
                <c:pt idx="0">
                  <c:v>-9.552984347772579</c:v>
                </c:pt>
                <c:pt idx="1">
                  <c:v>-8.597685912995322</c:v>
                </c:pt>
                <c:pt idx="2">
                  <c:v>-7.642387478218064</c:v>
                </c:pt>
                <c:pt idx="3">
                  <c:v>-6.687089043440806</c:v>
                </c:pt>
                <c:pt idx="4">
                  <c:v>-5.731790608663548</c:v>
                </c:pt>
                <c:pt idx="5">
                  <c:v>-4.7764921738862895</c:v>
                </c:pt>
                <c:pt idx="6">
                  <c:v>-3.821193739109032</c:v>
                </c:pt>
                <c:pt idx="7">
                  <c:v>-2.865895304331774</c:v>
                </c:pt>
                <c:pt idx="8">
                  <c:v>-1.910596869554516</c:v>
                </c:pt>
                <c:pt idx="9">
                  <c:v>-0.955298434777258</c:v>
                </c:pt>
                <c:pt idx="10">
                  <c:v>0</c:v>
                </c:pt>
                <c:pt idx="11">
                  <c:v>0.955298434777258</c:v>
                </c:pt>
                <c:pt idx="12">
                  <c:v>1.910596869554516</c:v>
                </c:pt>
                <c:pt idx="13">
                  <c:v>2.865895304331774</c:v>
                </c:pt>
                <c:pt idx="14">
                  <c:v>3.821193739109032</c:v>
                </c:pt>
                <c:pt idx="15">
                  <c:v>4.7764921738862895</c:v>
                </c:pt>
                <c:pt idx="16">
                  <c:v>5.731790608663548</c:v>
                </c:pt>
                <c:pt idx="17">
                  <c:v>6.687089043440806</c:v>
                </c:pt>
                <c:pt idx="18">
                  <c:v>7.642387478218064</c:v>
                </c:pt>
                <c:pt idx="19">
                  <c:v>8.597685912995322</c:v>
                </c:pt>
                <c:pt idx="20">
                  <c:v>9.552984347772579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Stars!$E$140:$F$140</c:f>
              <c:strCache>
                <c:ptCount val="1"/>
                <c:pt idx="0">
                  <c:v>   n1= -6,2'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Stars!$D$141:$D$161</c:f>
              <c:numCache>
                <c:ptCount val="21"/>
                <c:pt idx="0">
                  <c:v>19.426297849131323</c:v>
                </c:pt>
                <c:pt idx="1">
                  <c:v>18.379504550204622</c:v>
                </c:pt>
                <c:pt idx="2">
                  <c:v>17.33271125127792</c:v>
                </c:pt>
                <c:pt idx="3">
                  <c:v>16.28591795235122</c:v>
                </c:pt>
                <c:pt idx="4">
                  <c:v>15.239124653424518</c:v>
                </c:pt>
                <c:pt idx="5">
                  <c:v>14.192331354497817</c:v>
                </c:pt>
                <c:pt idx="6">
                  <c:v>13.145538055571116</c:v>
                </c:pt>
                <c:pt idx="7">
                  <c:v>12.098744756644415</c:v>
                </c:pt>
                <c:pt idx="8">
                  <c:v>11.051951457717712</c:v>
                </c:pt>
                <c:pt idx="9">
                  <c:v>10.00515815879101</c:v>
                </c:pt>
                <c:pt idx="10">
                  <c:v>8.958364859864309</c:v>
                </c:pt>
                <c:pt idx="11">
                  <c:v>7.911571560937608</c:v>
                </c:pt>
                <c:pt idx="12">
                  <c:v>6.864778262010907</c:v>
                </c:pt>
                <c:pt idx="13">
                  <c:v>5.817984963084204</c:v>
                </c:pt>
                <c:pt idx="14">
                  <c:v>4.771191664157503</c:v>
                </c:pt>
                <c:pt idx="15">
                  <c:v>3.724398365230802</c:v>
                </c:pt>
                <c:pt idx="16">
                  <c:v>2.6776050663041</c:v>
                </c:pt>
                <c:pt idx="17">
                  <c:v>1.6308117673773985</c:v>
                </c:pt>
                <c:pt idx="18">
                  <c:v>0.5840184684506973</c:v>
                </c:pt>
                <c:pt idx="19">
                  <c:v>-0.462774830476004</c:v>
                </c:pt>
                <c:pt idx="20">
                  <c:v>-1.5095681294027052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Stars!$K$141:$L$141</c:f>
              <c:strCache>
                <c:ptCount val="1"/>
                <c:pt idx="0">
                  <c:v>   A2= 359,2°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Stars!$I$141:$I$161</c:f>
              <c:numCache>
                <c:ptCount val="21"/>
                <c:pt idx="0">
                  <c:v>717.3017368926209</c:v>
                </c:pt>
                <c:pt idx="1">
                  <c:v>645.5715632033588</c:v>
                </c:pt>
                <c:pt idx="2">
                  <c:v>573.8413895140967</c:v>
                </c:pt>
                <c:pt idx="3">
                  <c:v>502.11121582483463</c:v>
                </c:pt>
                <c:pt idx="4">
                  <c:v>430.38104213557256</c:v>
                </c:pt>
                <c:pt idx="5">
                  <c:v>358.6508684463104</c:v>
                </c:pt>
                <c:pt idx="6">
                  <c:v>286.92069475704835</c:v>
                </c:pt>
                <c:pt idx="7">
                  <c:v>215.19052106778628</c:v>
                </c:pt>
                <c:pt idx="8">
                  <c:v>143.46034737852418</c:v>
                </c:pt>
                <c:pt idx="9">
                  <c:v>71.73017368926209</c:v>
                </c:pt>
                <c:pt idx="10">
                  <c:v>0</c:v>
                </c:pt>
                <c:pt idx="11">
                  <c:v>-71.73017368926209</c:v>
                </c:pt>
                <c:pt idx="12">
                  <c:v>-143.46034737852418</c:v>
                </c:pt>
                <c:pt idx="13">
                  <c:v>-215.19052106778628</c:v>
                </c:pt>
                <c:pt idx="14">
                  <c:v>-286.92069475704835</c:v>
                </c:pt>
                <c:pt idx="15">
                  <c:v>-358.6508684463104</c:v>
                </c:pt>
                <c:pt idx="16">
                  <c:v>-430.38104213557256</c:v>
                </c:pt>
                <c:pt idx="17">
                  <c:v>-502.11121582483463</c:v>
                </c:pt>
                <c:pt idx="18">
                  <c:v>-573.8413895140967</c:v>
                </c:pt>
                <c:pt idx="19">
                  <c:v>-645.5715632033588</c:v>
                </c:pt>
                <c:pt idx="20">
                  <c:v>-717.3017368926209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Stars!$K$140:$L$140</c:f>
              <c:strCache>
                <c:ptCount val="1"/>
                <c:pt idx="0">
                  <c:v>   n2= 3,0'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Stars!$J$141:$J$161</c:f>
              <c:numCache>
                <c:ptCount val="21"/>
                <c:pt idx="0">
                  <c:v>2.830919740418772</c:v>
                </c:pt>
                <c:pt idx="1">
                  <c:v>2.8448608749311743</c:v>
                </c:pt>
                <c:pt idx="2">
                  <c:v>2.858802009443577</c:v>
                </c:pt>
                <c:pt idx="3">
                  <c:v>2.8727431439559794</c:v>
                </c:pt>
                <c:pt idx="4">
                  <c:v>2.886684278468382</c:v>
                </c:pt>
                <c:pt idx="5">
                  <c:v>2.9006254129807845</c:v>
                </c:pt>
                <c:pt idx="6">
                  <c:v>2.914566547493187</c:v>
                </c:pt>
                <c:pt idx="7">
                  <c:v>2.9285076820055895</c:v>
                </c:pt>
                <c:pt idx="8">
                  <c:v>2.942448816517992</c:v>
                </c:pt>
                <c:pt idx="9">
                  <c:v>2.9563899510303946</c:v>
                </c:pt>
                <c:pt idx="10">
                  <c:v>2.970331085542797</c:v>
                </c:pt>
                <c:pt idx="11">
                  <c:v>2.9842722200551997</c:v>
                </c:pt>
                <c:pt idx="12">
                  <c:v>2.998213354567602</c:v>
                </c:pt>
                <c:pt idx="13">
                  <c:v>3.0121544890800047</c:v>
                </c:pt>
                <c:pt idx="14">
                  <c:v>3.0260956235924072</c:v>
                </c:pt>
                <c:pt idx="15">
                  <c:v>3.0400367581048098</c:v>
                </c:pt>
                <c:pt idx="16">
                  <c:v>3.0539778926172123</c:v>
                </c:pt>
                <c:pt idx="17">
                  <c:v>3.067919027129615</c:v>
                </c:pt>
                <c:pt idx="18">
                  <c:v>3.0818601616420174</c:v>
                </c:pt>
                <c:pt idx="19">
                  <c:v>3.09580129615442</c:v>
                </c:pt>
                <c:pt idx="20">
                  <c:v>3.1097424306668224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Stars!$Q$141:$R$141</c:f>
              <c:strCache>
                <c:ptCount val="1"/>
                <c:pt idx="0">
                  <c:v>   A3= 79,5°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Stars!$O$141:$O$161</c:f>
              <c:numCache>
                <c:ptCount val="21"/>
                <c:pt idx="0">
                  <c:v>-1.86237160128409</c:v>
                </c:pt>
                <c:pt idx="1">
                  <c:v>-1.676134441155681</c:v>
                </c:pt>
                <c:pt idx="2">
                  <c:v>-1.4898972810272721</c:v>
                </c:pt>
                <c:pt idx="3">
                  <c:v>-1.3036601208988632</c:v>
                </c:pt>
                <c:pt idx="4">
                  <c:v>-1.1174229607704542</c:v>
                </c:pt>
                <c:pt idx="5">
                  <c:v>-0.931185800642045</c:v>
                </c:pt>
                <c:pt idx="6">
                  <c:v>-0.7449486405136361</c:v>
                </c:pt>
                <c:pt idx="7">
                  <c:v>-0.5587114803852271</c:v>
                </c:pt>
                <c:pt idx="8">
                  <c:v>-0.37247432025681804</c:v>
                </c:pt>
                <c:pt idx="9">
                  <c:v>-0.18623716012840902</c:v>
                </c:pt>
                <c:pt idx="10">
                  <c:v>0</c:v>
                </c:pt>
                <c:pt idx="11">
                  <c:v>0.18623716012840902</c:v>
                </c:pt>
                <c:pt idx="12">
                  <c:v>0.37247432025681804</c:v>
                </c:pt>
                <c:pt idx="13">
                  <c:v>0.5587114803852271</c:v>
                </c:pt>
                <c:pt idx="14">
                  <c:v>0.7449486405136361</c:v>
                </c:pt>
                <c:pt idx="15">
                  <c:v>0.931185800642045</c:v>
                </c:pt>
                <c:pt idx="16">
                  <c:v>1.1174229607704542</c:v>
                </c:pt>
                <c:pt idx="17">
                  <c:v>1.3036601208988632</c:v>
                </c:pt>
                <c:pt idx="18">
                  <c:v>1.4898972810272721</c:v>
                </c:pt>
                <c:pt idx="19">
                  <c:v>1.676134441155681</c:v>
                </c:pt>
                <c:pt idx="20">
                  <c:v>1.86237160128409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Stars!$Q$140:$R$140</c:f>
              <c:strCache>
                <c:ptCount val="1"/>
                <c:pt idx="0">
                  <c:v>   n3= 3,8'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Stars!$P$141:$P$161</c:f>
              <c:numCache>
                <c:ptCount val="21"/>
                <c:pt idx="0">
                  <c:v>74.64798160151747</c:v>
                </c:pt>
                <c:pt idx="1">
                  <c:v>69.2784839174328</c:v>
                </c:pt>
                <c:pt idx="2">
                  <c:v>63.90898623334812</c:v>
                </c:pt>
                <c:pt idx="3">
                  <c:v>58.53948854926344</c:v>
                </c:pt>
                <c:pt idx="4">
                  <c:v>53.16999086517876</c:v>
                </c:pt>
                <c:pt idx="5">
                  <c:v>47.80049318109408</c:v>
                </c:pt>
                <c:pt idx="6">
                  <c:v>42.430995497009405</c:v>
                </c:pt>
                <c:pt idx="7">
                  <c:v>37.06149781292473</c:v>
                </c:pt>
                <c:pt idx="8">
                  <c:v>31.69200012884005</c:v>
                </c:pt>
                <c:pt idx="9">
                  <c:v>26.322502444755372</c:v>
                </c:pt>
                <c:pt idx="10">
                  <c:v>20.953004760670694</c:v>
                </c:pt>
                <c:pt idx="11">
                  <c:v>15.583507076586017</c:v>
                </c:pt>
                <c:pt idx="12">
                  <c:v>10.214009392501339</c:v>
                </c:pt>
                <c:pt idx="13">
                  <c:v>4.844511708416661</c:v>
                </c:pt>
                <c:pt idx="14">
                  <c:v>-0.5249859756680166</c:v>
                </c:pt>
                <c:pt idx="15">
                  <c:v>-5.894483659752694</c:v>
                </c:pt>
                <c:pt idx="16">
                  <c:v>-11.263981343837372</c:v>
                </c:pt>
                <c:pt idx="17">
                  <c:v>-16.63347902792205</c:v>
                </c:pt>
                <c:pt idx="18">
                  <c:v>-22.002976712006728</c:v>
                </c:pt>
                <c:pt idx="19">
                  <c:v>-27.372474396091405</c:v>
                </c:pt>
                <c:pt idx="20">
                  <c:v>-32.74197208017608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Stars!$W$141:$X$141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Stars!$U$141:$U$161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Stars!$W$140:$X$140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Stars!$V$141:$V$161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Stars!$AC$141:$AD$141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Stars!$AA$141:$AA$161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Stars!$AC$140:$AD$140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Stars!$AB$141:$AB$161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6"/>
          <c:order val="10"/>
          <c:tx>
            <c:v>   Position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Stars!$K$167</c:f>
              <c:numCache>
                <c:ptCount val="1"/>
                <c:pt idx="0">
                  <c:v>4.025792496545235</c:v>
                </c:pt>
              </c:numCache>
            </c:numRef>
          </c:xVal>
          <c:yVal>
            <c:numRef>
              <c:f>Stars!$K$168</c:f>
              <c:numCache>
                <c:ptCount val="1"/>
                <c:pt idx="0">
                  <c:v>3.792445893132937</c:v>
                </c:pt>
              </c:numCache>
            </c:numRef>
          </c:yVal>
          <c:smooth val="1"/>
        </c:ser>
        <c:axId val="26001558"/>
        <c:axId val="32687431"/>
      </c:scatterChart>
      <c:valAx>
        <c:axId val="2600155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32687431"/>
        <c:crosses val="autoZero"/>
        <c:crossBetween val="midCat"/>
        <c:dispUnits/>
        <c:majorUnit val="5"/>
        <c:minorUnit val="1"/>
      </c:valAx>
      <c:valAx>
        <c:axId val="32687431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26001558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35625"/>
          <c:w val="0.16725"/>
          <c:h val="0.2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675"/>
          <c:w val="0.619"/>
          <c:h val="0.9855"/>
        </c:manualLayout>
      </c:layout>
      <c:scatterChart>
        <c:scatterStyle val="smooth"/>
        <c:varyColors val="0"/>
        <c:ser>
          <c:idx val="0"/>
          <c:order val="0"/>
          <c:tx>
            <c:strRef>
              <c:f>Stars!$E$141:$F$141</c:f>
              <c:strCache>
                <c:ptCount val="1"/>
                <c:pt idx="0">
                  <c:v>   A1= 226,3°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Stars!$C$141:$C$161</c:f>
              <c:numCache/>
            </c:numRef>
          </c:yVal>
          <c:smooth val="1"/>
        </c:ser>
        <c:ser>
          <c:idx val="1"/>
          <c:order val="1"/>
          <c:tx>
            <c:strRef>
              <c:f>Stars!$E$140:$F$140</c:f>
              <c:strCache>
                <c:ptCount val="1"/>
                <c:pt idx="0">
                  <c:v>   n1= -6,2'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Stars!$D$141:$D$161</c:f>
              <c:numCache/>
            </c:numRef>
          </c:yVal>
          <c:smooth val="1"/>
        </c:ser>
        <c:ser>
          <c:idx val="2"/>
          <c:order val="2"/>
          <c:tx>
            <c:strRef>
              <c:f>Stars!$K$141:$L$141</c:f>
              <c:strCache>
                <c:ptCount val="1"/>
                <c:pt idx="0">
                  <c:v>   A2= 359,2°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Stars!$I$141:$I$161</c:f>
              <c:numCache/>
            </c:numRef>
          </c:yVal>
          <c:smooth val="1"/>
        </c:ser>
        <c:ser>
          <c:idx val="3"/>
          <c:order val="3"/>
          <c:tx>
            <c:strRef>
              <c:f>Stars!$K$140:$L$140</c:f>
              <c:strCache>
                <c:ptCount val="1"/>
                <c:pt idx="0">
                  <c:v>   n2= 3,0'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Stars!$J$141:$J$161</c:f>
              <c:numCache/>
            </c:numRef>
          </c:yVal>
          <c:smooth val="1"/>
        </c:ser>
        <c:ser>
          <c:idx val="4"/>
          <c:order val="4"/>
          <c:tx>
            <c:strRef>
              <c:f>Stars!$Q$141:$R$141</c:f>
              <c:strCache>
                <c:ptCount val="1"/>
                <c:pt idx="0">
                  <c:v>   A3= 79,5°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Stars!$O$141:$O$161</c:f>
              <c:numCache/>
            </c:numRef>
          </c:yVal>
          <c:smooth val="1"/>
        </c:ser>
        <c:ser>
          <c:idx val="5"/>
          <c:order val="5"/>
          <c:tx>
            <c:strRef>
              <c:f>Stars!$Q$140:$R$140</c:f>
              <c:strCache>
                <c:ptCount val="1"/>
                <c:pt idx="0">
                  <c:v>   n3= 3,8'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Stars!$P$141:$P$161</c:f>
              <c:numCache/>
            </c:numRef>
          </c:yVal>
          <c:smooth val="1"/>
        </c:ser>
        <c:ser>
          <c:idx val="7"/>
          <c:order val="6"/>
          <c:tx>
            <c:strRef>
              <c:f>Stars!$W$141:$X$141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Stars!$U$141:$U$161</c:f>
              <c:numCache/>
            </c:numRef>
          </c:yVal>
          <c:smooth val="1"/>
        </c:ser>
        <c:ser>
          <c:idx val="8"/>
          <c:order val="7"/>
          <c:tx>
            <c:strRef>
              <c:f>Stars!$W$140:$X$140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Stars!$V$141:$V$161</c:f>
              <c:numCache/>
            </c:numRef>
          </c:yVal>
          <c:smooth val="1"/>
        </c:ser>
        <c:ser>
          <c:idx val="9"/>
          <c:order val="8"/>
          <c:tx>
            <c:strRef>
              <c:f>Stars!$AC$141:$AD$141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Stars!$AA$141:$AA$161</c:f>
              <c:numCache/>
            </c:numRef>
          </c:yVal>
          <c:smooth val="1"/>
        </c:ser>
        <c:ser>
          <c:idx val="10"/>
          <c:order val="9"/>
          <c:tx>
            <c:strRef>
              <c:f>Stars!$AC$140:$AD$140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Stars!$AB$141:$AB$161</c:f>
              <c:numCache/>
            </c:numRef>
          </c:yVal>
          <c:smooth val="1"/>
        </c:ser>
        <c:ser>
          <c:idx val="6"/>
          <c:order val="10"/>
          <c:tx>
            <c:v>   Position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Stars!$K$167</c:f>
              <c:numCache/>
            </c:numRef>
          </c:xVal>
          <c:yVal>
            <c:numRef>
              <c:f>Stars!$K$168</c:f>
              <c:numCache/>
            </c:numRef>
          </c:yVal>
          <c:smooth val="1"/>
        </c:ser>
        <c:axId val="25751424"/>
        <c:axId val="30436225"/>
      </c:scatterChart>
      <c:valAx>
        <c:axId val="25751424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30436225"/>
        <c:crosses val="autoZero"/>
        <c:crossBetween val="midCat"/>
        <c:dispUnits/>
        <c:majorUnit val="5"/>
        <c:minorUnit val="1"/>
      </c:valAx>
      <c:valAx>
        <c:axId val="30436225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cross"/>
        <c:tickLblPos val="nextTo"/>
        <c:crossAx val="2575142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5"/>
          <c:y val="0.31725"/>
          <c:w val="0.2065"/>
          <c:h val="0.35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9</xdr:col>
      <xdr:colOff>0</xdr:colOff>
      <xdr:row>33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85750" y="4467225"/>
          <a:ext cx="64674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24</xdr:col>
      <xdr:colOff>0</xdr:colOff>
      <xdr:row>33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2134850" y="4467225"/>
          <a:ext cx="61436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39</xdr:col>
      <xdr:colOff>0</xdr:colOff>
      <xdr:row>33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31171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24</xdr:col>
      <xdr:colOff>0</xdr:colOff>
      <xdr:row>33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12134850" y="4467225"/>
          <a:ext cx="61436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39</xdr:col>
      <xdr:colOff>0</xdr:colOff>
      <xdr:row>33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231171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74</xdr:col>
      <xdr:colOff>190500</xdr:colOff>
      <xdr:row>4</xdr:row>
      <xdr:rowOff>28575</xdr:rowOff>
    </xdr:from>
    <xdr:ext cx="6553200" cy="504825"/>
    <xdr:sp>
      <xdr:nvSpPr>
        <xdr:cNvPr id="6" name="TextBox 27"/>
        <xdr:cNvSpPr txBox="1">
          <a:spLocks noChangeArrowheads="1"/>
        </xdr:cNvSpPr>
      </xdr:nvSpPr>
      <xdr:spPr>
        <a:xfrm>
          <a:off x="53101875" y="704850"/>
          <a:ext cx="6553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KNUD I. LARSEN  - COPENHAGEN</a:t>
          </a:r>
        </a:p>
      </xdr:txBody>
    </xdr:sp>
    <xdr:clientData/>
  </xdr:oneCellAnchor>
  <xdr:oneCellAnchor>
    <xdr:from>
      <xdr:col>74</xdr:col>
      <xdr:colOff>85725</xdr:colOff>
      <xdr:row>9</xdr:row>
      <xdr:rowOff>28575</xdr:rowOff>
    </xdr:from>
    <xdr:ext cx="7296150" cy="352425"/>
    <xdr:sp>
      <xdr:nvSpPr>
        <xdr:cNvPr id="7" name="TextBox 28"/>
        <xdr:cNvSpPr txBox="1">
          <a:spLocks noChangeArrowheads="1"/>
        </xdr:cNvSpPr>
      </xdr:nvSpPr>
      <xdr:spPr>
        <a:xfrm>
          <a:off x="52997100" y="1581150"/>
          <a:ext cx="7296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Sun Observation Calculation Sheet</a:t>
          </a:r>
        </a:p>
      </xdr:txBody>
    </xdr:sp>
    <xdr:clientData/>
  </xdr:oneCellAnchor>
  <xdr:twoCellAnchor>
    <xdr:from>
      <xdr:col>74</xdr:col>
      <xdr:colOff>428625</xdr:colOff>
      <xdr:row>47</xdr:row>
      <xdr:rowOff>28575</xdr:rowOff>
    </xdr:from>
    <xdr:to>
      <xdr:col>84</xdr:col>
      <xdr:colOff>581025</xdr:colOff>
      <xdr:row>73</xdr:row>
      <xdr:rowOff>142875</xdr:rowOff>
    </xdr:to>
    <xdr:graphicFrame>
      <xdr:nvGraphicFramePr>
        <xdr:cNvPr id="8" name="Chart 29"/>
        <xdr:cNvGraphicFramePr/>
      </xdr:nvGraphicFramePr>
      <xdr:xfrm>
        <a:off x="53340000" y="8239125"/>
        <a:ext cx="82962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0</xdr:colOff>
      <xdr:row>26</xdr:row>
      <xdr:rowOff>0</xdr:rowOff>
    </xdr:from>
    <xdr:to>
      <xdr:col>54</xdr:col>
      <xdr:colOff>0</xdr:colOff>
      <xdr:row>33</xdr:row>
      <xdr:rowOff>0</xdr:rowOff>
    </xdr:to>
    <xdr:sp>
      <xdr:nvSpPr>
        <xdr:cNvPr id="9" name="Rectangle 30"/>
        <xdr:cNvSpPr>
          <a:spLocks/>
        </xdr:cNvSpPr>
      </xdr:nvSpPr>
      <xdr:spPr>
        <a:xfrm>
          <a:off x="335565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54</xdr:col>
      <xdr:colOff>0</xdr:colOff>
      <xdr:row>33</xdr:row>
      <xdr:rowOff>0</xdr:rowOff>
    </xdr:to>
    <xdr:sp>
      <xdr:nvSpPr>
        <xdr:cNvPr id="10" name="Rectangle 31"/>
        <xdr:cNvSpPr>
          <a:spLocks/>
        </xdr:cNvSpPr>
      </xdr:nvSpPr>
      <xdr:spPr>
        <a:xfrm>
          <a:off x="335565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200025</xdr:colOff>
      <xdr:row>3</xdr:row>
      <xdr:rowOff>171450</xdr:rowOff>
    </xdr:from>
    <xdr:to>
      <xdr:col>84</xdr:col>
      <xdr:colOff>428625</xdr:colOff>
      <xdr:row>9</xdr:row>
      <xdr:rowOff>95250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69450" y="666750"/>
          <a:ext cx="1114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9</xdr:col>
      <xdr:colOff>0</xdr:colOff>
      <xdr:row>32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85750" y="4114800"/>
          <a:ext cx="61055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24</xdr:col>
      <xdr:colOff>0</xdr:colOff>
      <xdr:row>32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1468100" y="4114800"/>
          <a:ext cx="621030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39</xdr:col>
      <xdr:colOff>0</xdr:colOff>
      <xdr:row>32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2669500" y="4114800"/>
          <a:ext cx="57245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24</xdr:row>
      <xdr:rowOff>0</xdr:rowOff>
    </xdr:from>
    <xdr:to>
      <xdr:col>54</xdr:col>
      <xdr:colOff>0</xdr:colOff>
      <xdr:row>32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33194625" y="4114800"/>
          <a:ext cx="55721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0</xdr:rowOff>
    </xdr:from>
    <xdr:to>
      <xdr:col>69</xdr:col>
      <xdr:colOff>0</xdr:colOff>
      <xdr:row>32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43567350" y="4114800"/>
          <a:ext cx="56197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76</xdr:col>
      <xdr:colOff>0</xdr:colOff>
      <xdr:row>24</xdr:row>
      <xdr:rowOff>0</xdr:rowOff>
    </xdr:from>
    <xdr:to>
      <xdr:col>84</xdr:col>
      <xdr:colOff>0</xdr:colOff>
      <xdr:row>32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53987700" y="4114800"/>
          <a:ext cx="56959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100</xdr:col>
      <xdr:colOff>647700</xdr:colOff>
      <xdr:row>42</xdr:row>
      <xdr:rowOff>95250</xdr:rowOff>
    </xdr:from>
    <xdr:to>
      <xdr:col>110</xdr:col>
      <xdr:colOff>409575</xdr:colOff>
      <xdr:row>70</xdr:row>
      <xdr:rowOff>133350</xdr:rowOff>
    </xdr:to>
    <xdr:graphicFrame>
      <xdr:nvGraphicFramePr>
        <xdr:cNvPr id="7" name="Chart 14"/>
        <xdr:cNvGraphicFramePr/>
      </xdr:nvGraphicFramePr>
      <xdr:xfrm>
        <a:off x="71304150" y="7353300"/>
        <a:ext cx="85248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100</xdr:col>
      <xdr:colOff>190500</xdr:colOff>
      <xdr:row>2</xdr:row>
      <xdr:rowOff>28575</xdr:rowOff>
    </xdr:from>
    <xdr:ext cx="6581775" cy="504825"/>
    <xdr:sp>
      <xdr:nvSpPr>
        <xdr:cNvPr id="8" name="TextBox 31"/>
        <xdr:cNvSpPr txBox="1">
          <a:spLocks noChangeArrowheads="1"/>
        </xdr:cNvSpPr>
      </xdr:nvSpPr>
      <xdr:spPr>
        <a:xfrm>
          <a:off x="70846950" y="361950"/>
          <a:ext cx="6581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KNUD I. LARSEN  - COPENHAGEN</a:t>
          </a:r>
        </a:p>
      </xdr:txBody>
    </xdr:sp>
    <xdr:clientData/>
  </xdr:oneCellAnchor>
  <xdr:oneCellAnchor>
    <xdr:from>
      <xdr:col>100</xdr:col>
      <xdr:colOff>85725</xdr:colOff>
      <xdr:row>7</xdr:row>
      <xdr:rowOff>28575</xdr:rowOff>
    </xdr:from>
    <xdr:ext cx="7324725" cy="352425"/>
    <xdr:sp>
      <xdr:nvSpPr>
        <xdr:cNvPr id="9" name="TextBox 32"/>
        <xdr:cNvSpPr txBox="1">
          <a:spLocks noChangeArrowheads="1"/>
        </xdr:cNvSpPr>
      </xdr:nvSpPr>
      <xdr:spPr>
        <a:xfrm>
          <a:off x="70742175" y="1228725"/>
          <a:ext cx="7324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Stars Observation Calculation Sheet</a:t>
          </a:r>
        </a:p>
      </xdr:txBody>
    </xdr:sp>
    <xdr:clientData/>
  </xdr:oneCellAnchor>
  <xdr:twoCellAnchor>
    <xdr:from>
      <xdr:col>108</xdr:col>
      <xdr:colOff>561975</xdr:colOff>
      <xdr:row>1</xdr:row>
      <xdr:rowOff>85725</xdr:rowOff>
    </xdr:from>
    <xdr:to>
      <xdr:col>110</xdr:col>
      <xdr:colOff>104775</xdr:colOff>
      <xdr:row>7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09800" y="247650"/>
          <a:ext cx="1114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DG178"/>
  <sheetViews>
    <sheetView zoomScale="95" zoomScaleNormal="95" workbookViewId="0" topLeftCell="A45">
      <selection activeCell="D63" sqref="D63"/>
    </sheetView>
  </sheetViews>
  <sheetFormatPr defaultColWidth="9.00390625" defaultRowHeight="12.75"/>
  <cols>
    <col min="1" max="1" width="3.75390625" style="0" customWidth="1"/>
    <col min="2" max="2" width="9.25390625" style="0" bestFit="1" customWidth="1"/>
    <col min="3" max="3" width="11.00390625" style="0" customWidth="1"/>
    <col min="4" max="4" width="11.75390625" style="0" customWidth="1"/>
    <col min="5" max="5" width="10.875" style="0" customWidth="1"/>
    <col min="6" max="6" width="11.75390625" style="0" customWidth="1"/>
    <col min="7" max="8" width="9.25390625" style="0" bestFit="1" customWidth="1"/>
    <col min="9" max="9" width="11.75390625" style="0" customWidth="1"/>
    <col min="10" max="10" width="10.875" style="0" customWidth="1"/>
    <col min="11" max="11" width="10.75390625" style="0" bestFit="1" customWidth="1"/>
    <col min="12" max="12" width="11.125" style="0" customWidth="1"/>
    <col min="13" max="15" width="9.25390625" style="0" bestFit="1" customWidth="1"/>
    <col min="16" max="16" width="10.125" style="0" customWidth="1"/>
    <col min="17" max="17" width="9.25390625" style="0" bestFit="1" customWidth="1"/>
    <col min="18" max="18" width="11.125" style="0" customWidth="1"/>
    <col min="19" max="19" width="9.25390625" style="0" bestFit="1" customWidth="1"/>
    <col min="20" max="20" width="9.625" style="0" bestFit="1" customWidth="1"/>
    <col min="21" max="21" width="10.125" style="0" customWidth="1"/>
    <col min="22" max="22" width="10.00390625" style="0" bestFit="1" customWidth="1"/>
    <col min="23" max="24" width="10.625" style="0" customWidth="1"/>
    <col min="25" max="26" width="9.25390625" style="0" bestFit="1" customWidth="1"/>
    <col min="34" max="34" width="9.625" style="0" bestFit="1" customWidth="1"/>
    <col min="36" max="36" width="10.375" style="0" customWidth="1"/>
    <col min="49" max="49" width="10.00390625" style="0" customWidth="1"/>
    <col min="51" max="51" width="10.00390625" style="0" bestFit="1" customWidth="1"/>
    <col min="77" max="79" width="13.00390625" style="0" customWidth="1"/>
    <col min="82" max="82" width="11.25390625" style="0" bestFit="1" customWidth="1"/>
    <col min="84" max="84" width="11.625" style="0" bestFit="1" customWidth="1"/>
  </cols>
  <sheetData>
    <row r="1" spans="18:31" ht="12.75"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</row>
    <row r="2" spans="2:31" ht="12.75">
      <c r="B2" s="68" t="s">
        <v>296</v>
      </c>
      <c r="H2" s="411"/>
      <c r="I2" s="411"/>
      <c r="J2" s="411"/>
      <c r="K2" s="411"/>
      <c r="L2" s="411"/>
      <c r="R2" s="431"/>
      <c r="S2" s="510" t="s">
        <v>318</v>
      </c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</row>
    <row r="3" spans="8:31" ht="13.5" thickBot="1">
      <c r="H3" s="411"/>
      <c r="I3" s="411"/>
      <c r="J3" s="411"/>
      <c r="K3" s="411"/>
      <c r="L3" s="41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</row>
    <row r="4" spans="2:85" ht="14.25" thickBot="1" thickTop="1">
      <c r="B4" s="293"/>
      <c r="C4" s="329" t="s">
        <v>403</v>
      </c>
      <c r="D4" s="349">
        <v>22</v>
      </c>
      <c r="E4" s="342">
        <v>9</v>
      </c>
      <c r="F4" s="238">
        <v>2000</v>
      </c>
      <c r="H4" s="225" t="s">
        <v>336</v>
      </c>
      <c r="I4" s="226"/>
      <c r="J4" s="226"/>
      <c r="K4" s="227"/>
      <c r="L4" s="411"/>
      <c r="R4" s="431"/>
      <c r="S4" s="510" t="s">
        <v>0</v>
      </c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</row>
    <row r="5" spans="2:85" ht="14.25" thickBot="1" thickTop="1">
      <c r="B5" s="294"/>
      <c r="C5" s="330" t="s">
        <v>404</v>
      </c>
      <c r="D5" s="350">
        <v>20</v>
      </c>
      <c r="E5" s="233">
        <v>0</v>
      </c>
      <c r="F5" s="290"/>
      <c r="H5" s="228"/>
      <c r="I5" s="224"/>
      <c r="J5" s="224"/>
      <c r="K5" s="229"/>
      <c r="L5" s="411"/>
      <c r="R5" s="431"/>
      <c r="S5" s="293"/>
      <c r="T5" s="329" t="s">
        <v>403</v>
      </c>
      <c r="U5" s="332">
        <v>21</v>
      </c>
      <c r="V5" s="307">
        <v>10</v>
      </c>
      <c r="W5" s="308">
        <v>2000</v>
      </c>
      <c r="X5" s="511" t="s">
        <v>375</v>
      </c>
      <c r="Y5" s="512">
        <f>AX46</f>
        <v>62</v>
      </c>
      <c r="Z5" s="513">
        <f>AY46</f>
        <v>25.86577370988209</v>
      </c>
      <c r="AA5" s="431"/>
      <c r="AB5" s="431"/>
      <c r="AC5" s="431"/>
      <c r="AD5" s="431"/>
      <c r="AE5" s="431"/>
      <c r="BW5" s="436"/>
      <c r="BX5" s="224"/>
      <c r="BY5" s="224"/>
      <c r="BZ5" s="224"/>
      <c r="CA5" s="224"/>
      <c r="CB5" s="224"/>
      <c r="CC5" s="224"/>
      <c r="CD5" s="224"/>
      <c r="CE5" s="224"/>
      <c r="CF5" s="224"/>
      <c r="CG5" s="224"/>
    </row>
    <row r="6" spans="2:85" ht="14.25" thickBot="1" thickTop="1">
      <c r="B6" s="479"/>
      <c r="C6" s="330" t="s">
        <v>366</v>
      </c>
      <c r="D6" s="320">
        <v>15</v>
      </c>
      <c r="E6" s="477">
        <v>0</v>
      </c>
      <c r="F6" s="478" t="s">
        <v>399</v>
      </c>
      <c r="H6" s="230" t="s">
        <v>102</v>
      </c>
      <c r="I6" s="409">
        <f>P152</f>
        <v>22</v>
      </c>
      <c r="J6" s="236">
        <f>Q152</f>
        <v>59.82908614540939</v>
      </c>
      <c r="K6" s="231" t="str">
        <f>R152</f>
        <v>N</v>
      </c>
      <c r="L6" s="411"/>
      <c r="R6" s="431"/>
      <c r="S6" s="294"/>
      <c r="T6" s="330" t="s">
        <v>404</v>
      </c>
      <c r="U6" s="320">
        <v>17</v>
      </c>
      <c r="V6" s="277">
        <v>54</v>
      </c>
      <c r="W6" s="309">
        <v>0</v>
      </c>
      <c r="X6" s="514" t="s">
        <v>332</v>
      </c>
      <c r="Y6" s="537">
        <f>AW49</f>
        <v>310.6869719497242</v>
      </c>
      <c r="Z6" s="537"/>
      <c r="AA6" s="431"/>
      <c r="AB6" s="431"/>
      <c r="AC6" s="431"/>
      <c r="AD6" s="431"/>
      <c r="AE6" s="431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</row>
    <row r="7" spans="2:85" ht="13.5" thickTop="1">
      <c r="B7" s="294"/>
      <c r="C7" s="330" t="s">
        <v>297</v>
      </c>
      <c r="D7" s="343">
        <v>267</v>
      </c>
      <c r="E7" s="292"/>
      <c r="F7" s="240"/>
      <c r="H7" s="230" t="s">
        <v>103</v>
      </c>
      <c r="I7" s="484">
        <f>P151</f>
        <v>88</v>
      </c>
      <c r="J7" s="236">
        <f>Q151</f>
        <v>32.17065168133587</v>
      </c>
      <c r="K7" s="231" t="str">
        <f>R151</f>
        <v>W</v>
      </c>
      <c r="L7" s="411"/>
      <c r="R7" s="431"/>
      <c r="S7" s="294"/>
      <c r="T7" s="330" t="s">
        <v>31</v>
      </c>
      <c r="U7" s="321">
        <v>30</v>
      </c>
      <c r="V7" s="310">
        <v>10</v>
      </c>
      <c r="W7" s="311" t="s">
        <v>376</v>
      </c>
      <c r="X7" s="431"/>
      <c r="Y7" s="431"/>
      <c r="Z7" s="431"/>
      <c r="AA7" s="431"/>
      <c r="AB7" s="431"/>
      <c r="AC7" s="431"/>
      <c r="AD7" s="431"/>
      <c r="AE7" s="431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</row>
    <row r="8" spans="2:85" ht="13.5" thickBot="1">
      <c r="B8" s="294"/>
      <c r="C8" s="330" t="s">
        <v>298</v>
      </c>
      <c r="D8" s="344">
        <v>13.4</v>
      </c>
      <c r="E8" s="292"/>
      <c r="F8" s="240"/>
      <c r="H8" s="485"/>
      <c r="I8" s="471" t="str">
        <f>IF($C$20="","",CONCATENATE(TEXT($K$155,"0"),TEXT($L$155,"0,0°  -  "),TEXT($M$155,"0,0'")))</f>
        <v>C =   265,1° - 2,0'</v>
      </c>
      <c r="J8" s="468"/>
      <c r="K8" s="486"/>
      <c r="L8" s="411"/>
      <c r="R8" s="431"/>
      <c r="S8" s="294"/>
      <c r="T8" s="330" t="s">
        <v>33</v>
      </c>
      <c r="U8" s="333">
        <v>72</v>
      </c>
      <c r="V8" s="312">
        <v>23.2</v>
      </c>
      <c r="W8" s="313" t="s">
        <v>34</v>
      </c>
      <c r="X8" s="431"/>
      <c r="Y8" s="431"/>
      <c r="Z8" s="431"/>
      <c r="AA8" s="431"/>
      <c r="AB8" s="431"/>
      <c r="AC8" s="431"/>
      <c r="AD8" s="431"/>
      <c r="AE8" s="431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</row>
    <row r="9" spans="2:85" ht="13.5" thickTop="1">
      <c r="B9" s="294"/>
      <c r="C9" s="330" t="s">
        <v>299</v>
      </c>
      <c r="D9" s="345">
        <v>24</v>
      </c>
      <c r="E9" s="292"/>
      <c r="F9" s="240"/>
      <c r="H9" s="114"/>
      <c r="I9" s="114"/>
      <c r="J9" s="114"/>
      <c r="K9" s="114"/>
      <c r="L9" s="114"/>
      <c r="R9" s="431"/>
      <c r="S9" s="294"/>
      <c r="T9" s="330" t="s">
        <v>321</v>
      </c>
      <c r="U9" s="334">
        <v>166</v>
      </c>
      <c r="V9" s="515"/>
      <c r="W9" s="516"/>
      <c r="X9" s="431"/>
      <c r="Y9" s="431"/>
      <c r="Z9" s="431"/>
      <c r="AA9" s="431"/>
      <c r="AB9" s="431"/>
      <c r="AC9" s="431"/>
      <c r="AD9" s="431"/>
      <c r="AE9" s="431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</row>
    <row r="10" spans="2:85" ht="13.5" thickBot="1">
      <c r="B10" s="294"/>
      <c r="C10" s="330" t="s">
        <v>300</v>
      </c>
      <c r="D10" s="346">
        <v>29</v>
      </c>
      <c r="E10" s="292"/>
      <c r="F10" s="240"/>
      <c r="G10" s="412" t="s">
        <v>350</v>
      </c>
      <c r="L10" s="114"/>
      <c r="R10" s="431"/>
      <c r="S10" s="294"/>
      <c r="T10" s="330" t="s">
        <v>319</v>
      </c>
      <c r="U10" s="334">
        <v>163</v>
      </c>
      <c r="V10" s="517"/>
      <c r="W10" s="518"/>
      <c r="X10" s="431"/>
      <c r="Y10" s="431"/>
      <c r="Z10" s="431"/>
      <c r="AA10" s="431"/>
      <c r="AB10" s="431"/>
      <c r="AC10" s="431"/>
      <c r="AD10" s="431"/>
      <c r="AE10" s="431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</row>
    <row r="11" spans="2:85" ht="13.5" thickTop="1">
      <c r="B11" s="294"/>
      <c r="C11" s="330" t="s">
        <v>301</v>
      </c>
      <c r="D11" s="347">
        <v>760</v>
      </c>
      <c r="E11" s="292"/>
      <c r="F11" s="240"/>
      <c r="G11" s="481"/>
      <c r="H11" s="413" t="s">
        <v>380</v>
      </c>
      <c r="I11" s="405"/>
      <c r="J11" s="405"/>
      <c r="K11" s="414"/>
      <c r="L11" s="114"/>
      <c r="R11" s="431"/>
      <c r="S11" s="294"/>
      <c r="T11" s="330" t="s">
        <v>320</v>
      </c>
      <c r="U11" s="335">
        <v>4.1</v>
      </c>
      <c r="V11" s="517"/>
      <c r="W11" s="518"/>
      <c r="X11" s="431"/>
      <c r="Y11" s="431"/>
      <c r="Z11" s="431"/>
      <c r="AA11" s="431"/>
      <c r="AB11" s="431"/>
      <c r="AC11" s="431"/>
      <c r="AD11" s="431"/>
      <c r="AE11" s="431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</row>
    <row r="12" spans="2:85" ht="13.5" thickBot="1">
      <c r="B12" s="295"/>
      <c r="C12" s="331" t="s">
        <v>49</v>
      </c>
      <c r="D12" s="348">
        <v>0.1</v>
      </c>
      <c r="E12" s="239"/>
      <c r="F12" s="26"/>
      <c r="G12" s="482" t="s">
        <v>311</v>
      </c>
      <c r="H12" s="415" t="s">
        <v>379</v>
      </c>
      <c r="I12" s="26"/>
      <c r="J12" s="26"/>
      <c r="K12" s="416"/>
      <c r="L12" s="410"/>
      <c r="R12" s="431"/>
      <c r="S12" s="295"/>
      <c r="T12" s="331" t="s">
        <v>322</v>
      </c>
      <c r="U12" s="337">
        <v>311</v>
      </c>
      <c r="V12" s="517"/>
      <c r="W12" s="518"/>
      <c r="X12" s="431"/>
      <c r="Y12" s="431"/>
      <c r="Z12" s="431"/>
      <c r="AA12" s="431"/>
      <c r="AB12" s="431"/>
      <c r="AC12" s="431"/>
      <c r="AD12" s="431"/>
      <c r="AE12" s="431"/>
      <c r="BW12" s="427"/>
      <c r="BX12" s="437"/>
      <c r="BY12" s="427"/>
      <c r="BZ12" s="427"/>
      <c r="CA12" s="427"/>
      <c r="CB12" s="427"/>
      <c r="CC12" s="427"/>
      <c r="CD12" s="427"/>
      <c r="CE12" s="427"/>
      <c r="CF12" s="427"/>
      <c r="CG12" s="427"/>
    </row>
    <row r="13" spans="5:85" ht="14.25" thickBot="1" thickTop="1">
      <c r="E13" s="26"/>
      <c r="F13" s="26"/>
      <c r="G13" s="483"/>
      <c r="H13" s="417"/>
      <c r="I13" s="418"/>
      <c r="J13" s="418"/>
      <c r="K13" s="419"/>
      <c r="L13" s="410"/>
      <c r="R13" s="431"/>
      <c r="S13" s="224"/>
      <c r="T13" s="435"/>
      <c r="U13" s="508"/>
      <c r="V13" s="518"/>
      <c r="W13" s="518"/>
      <c r="X13" s="431"/>
      <c r="Y13" s="431"/>
      <c r="Z13" s="431"/>
      <c r="AA13" s="431"/>
      <c r="AB13" s="431"/>
      <c r="AC13" s="431"/>
      <c r="AD13" s="431"/>
      <c r="AE13" s="431"/>
      <c r="BW13" s="423"/>
      <c r="BX13" s="224"/>
      <c r="BY13" s="224"/>
      <c r="BZ13" s="224"/>
      <c r="CA13" s="224"/>
      <c r="CB13" s="224"/>
      <c r="CC13" s="224"/>
      <c r="CD13" s="224"/>
      <c r="CE13" s="224"/>
      <c r="CF13" s="224"/>
      <c r="CG13" s="424"/>
    </row>
    <row r="14" spans="8:85" ht="14.25" thickBot="1" thickTop="1">
      <c r="H14" s="114"/>
      <c r="I14" s="114"/>
      <c r="J14" s="114"/>
      <c r="K14" s="114"/>
      <c r="L14" s="114"/>
      <c r="R14" s="431"/>
      <c r="S14" s="510" t="s">
        <v>324</v>
      </c>
      <c r="T14" s="435"/>
      <c r="U14" s="509"/>
      <c r="V14" s="224"/>
      <c r="W14" s="224"/>
      <c r="X14" s="431"/>
      <c r="Y14" s="431"/>
      <c r="Z14" s="431"/>
      <c r="AA14" s="431"/>
      <c r="AB14" s="431"/>
      <c r="AC14" s="431"/>
      <c r="AD14" s="431"/>
      <c r="AE14" s="431"/>
      <c r="BW14" s="423"/>
      <c r="BX14" s="224"/>
      <c r="BY14" s="224"/>
      <c r="BZ14" s="224"/>
      <c r="CA14" s="224"/>
      <c r="CB14" s="224"/>
      <c r="CC14" s="224"/>
      <c r="CD14" s="224"/>
      <c r="CE14" s="224"/>
      <c r="CF14" s="224"/>
      <c r="CG14" s="424"/>
    </row>
    <row r="15" spans="2:85" ht="14.25" thickBot="1" thickTop="1">
      <c r="B15" s="26"/>
      <c r="C15" s="244"/>
      <c r="D15" s="237"/>
      <c r="E15" s="26"/>
      <c r="F15" s="26"/>
      <c r="R15" s="431"/>
      <c r="S15" s="519" t="s">
        <v>325</v>
      </c>
      <c r="T15" s="352" t="s">
        <v>326</v>
      </c>
      <c r="U15" s="352" t="s">
        <v>327</v>
      </c>
      <c r="V15" s="352" t="s">
        <v>332</v>
      </c>
      <c r="W15" s="352" t="s">
        <v>333</v>
      </c>
      <c r="X15" s="352" t="s">
        <v>328</v>
      </c>
      <c r="Y15" s="352" t="s">
        <v>329</v>
      </c>
      <c r="Z15" s="352" t="s">
        <v>330</v>
      </c>
      <c r="AA15" s="260" t="s">
        <v>331</v>
      </c>
      <c r="AB15" s="431"/>
      <c r="AC15" s="431"/>
      <c r="AD15" s="431"/>
      <c r="AE15" s="431"/>
      <c r="BW15" s="423"/>
      <c r="BX15" s="224"/>
      <c r="BY15" s="432" t="s">
        <v>304</v>
      </c>
      <c r="BZ15" s="432" t="s">
        <v>306</v>
      </c>
      <c r="CA15" s="432" t="s">
        <v>309</v>
      </c>
      <c r="CB15" s="472"/>
      <c r="CC15" s="473"/>
      <c r="CD15" s="224"/>
      <c r="CE15" s="224"/>
      <c r="CF15" s="224"/>
      <c r="CG15" s="424"/>
    </row>
    <row r="16" spans="2:85" ht="13.5" thickBot="1">
      <c r="B16" s="26"/>
      <c r="C16" s="244"/>
      <c r="D16" s="237"/>
      <c r="E16" s="26"/>
      <c r="F16" s="26"/>
      <c r="R16" s="431"/>
      <c r="S16" s="520">
        <f>U9</f>
        <v>166</v>
      </c>
      <c r="T16" s="521">
        <f>U10</f>
        <v>163</v>
      </c>
      <c r="U16" s="521">
        <f>U9</f>
        <v>166</v>
      </c>
      <c r="V16" s="521">
        <f>AW49</f>
        <v>310.6869719497242</v>
      </c>
      <c r="W16" s="521">
        <f>U12</f>
        <v>311</v>
      </c>
      <c r="X16" s="522">
        <f>IF((V16-W16)&gt;=180,V16-W16-360,IF((V16-W16)&lt;=-180,V16-W16+360,V16-W16))</f>
        <v>-0.31302805027581826</v>
      </c>
      <c r="Y16" s="522">
        <f>IF((S16+X16-T16)&gt;=180,S16+X16-T16-360,IF((S16+X16-T16)&lt;=-180,S16+X16-T16+360,S16+X16-T16))</f>
        <v>2.6869719497241817</v>
      </c>
      <c r="Z16" s="522">
        <f>U11</f>
        <v>4.1</v>
      </c>
      <c r="AA16" s="523">
        <f>Y16-Z16</f>
        <v>-1.413028050275818</v>
      </c>
      <c r="AB16" s="431"/>
      <c r="AC16" s="431"/>
      <c r="AD16" s="431"/>
      <c r="AE16" s="431"/>
      <c r="BW16" s="423"/>
      <c r="BX16" s="425" t="s">
        <v>352</v>
      </c>
      <c r="BY16" s="434" t="str">
        <f>IF($C$20="","",CONCATENATE(TEXT($D$5,"00 "),TEXT($E$5,"00  ")))</f>
        <v>0000</v>
      </c>
      <c r="BZ16" s="434" t="str">
        <f>IF($C$21="","",CONCATENATE(TEXT($D$5,"00 "),TEXT($E$5,"00 ")))</f>
        <v>0000</v>
      </c>
      <c r="CA16" s="434" t="str">
        <f>IF($C$22="","",CONCATENATE(TEXT($D$5,"00 "),TEXT($E$5,"00 ")))</f>
        <v>0000</v>
      </c>
      <c r="CB16" s="472"/>
      <c r="CC16" s="473"/>
      <c r="CD16" s="224"/>
      <c r="CE16" s="435" t="s">
        <v>360</v>
      </c>
      <c r="CF16" s="439" t="str">
        <f>CONCATENATE(TEXT($D$6,"00:"),TEXT($E$6,"00"))</f>
        <v>15:00</v>
      </c>
      <c r="CG16" s="424"/>
    </row>
    <row r="17" spans="18:85" ht="14.25" thickBot="1" thickTop="1"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BW17" s="423"/>
      <c r="BX17" s="425" t="s">
        <v>353</v>
      </c>
      <c r="BY17" s="493" t="str">
        <f>IF($C$20="","",CONCATENATE(TEXT($D$4,"00-"),TEXT($E$4,"00-"),TEXT($F$4,"0000")))</f>
        <v>22-09-2000</v>
      </c>
      <c r="BZ17" s="448" t="str">
        <f>IF($C$21="","",CONCATENATE(TEXT($D$4,"00-"),TEXT($E$4,"00-"),TEXT($F$4,"0000")))</f>
        <v>22-09-2000</v>
      </c>
      <c r="CA17" s="448" t="str">
        <f>IF($C$22="","",CONCATENATE(TEXT($D$4,"00-"),TEXT($E$4,"00-"),TEXT($F$4,"0000")))</f>
        <v>22-09-2000</v>
      </c>
      <c r="CB17" s="472"/>
      <c r="CC17" s="473"/>
      <c r="CD17" s="224"/>
      <c r="CE17" s="435" t="s">
        <v>365</v>
      </c>
      <c r="CF17" s="440" t="str">
        <f>$F$6</f>
        <v>5W</v>
      </c>
      <c r="CG17" s="424"/>
    </row>
    <row r="18" spans="2:85" ht="13.5" thickTop="1">
      <c r="B18" s="338"/>
      <c r="C18" s="351"/>
      <c r="D18" s="352" t="s">
        <v>37</v>
      </c>
      <c r="E18" s="257"/>
      <c r="F18" s="256"/>
      <c r="G18" s="352" t="s">
        <v>32</v>
      </c>
      <c r="H18" s="257"/>
      <c r="I18" s="353"/>
      <c r="J18" s="258" t="s">
        <v>4</v>
      </c>
      <c r="K18" s="259"/>
      <c r="L18" s="256" t="s">
        <v>340</v>
      </c>
      <c r="M18" s="257"/>
      <c r="N18" s="352" t="s">
        <v>307</v>
      </c>
      <c r="O18" s="401" t="s">
        <v>345</v>
      </c>
      <c r="P18" s="491" t="s">
        <v>82</v>
      </c>
      <c r="Q18" s="491" t="s">
        <v>359</v>
      </c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BW18" s="423"/>
      <c r="BX18" s="425"/>
      <c r="BY18" s="433"/>
      <c r="BZ18" s="433"/>
      <c r="CA18" s="433"/>
      <c r="CB18" s="472"/>
      <c r="CC18" s="473"/>
      <c r="CD18" s="224"/>
      <c r="CE18" s="435" t="s">
        <v>31</v>
      </c>
      <c r="CF18" s="480" t="str">
        <f>IF($C$22="",CONCATENATE(TEXT($C$21,"00° "),TEXT($D$21,"00,0'  "),TEXT($E$21,"0")),CONCATENATE(TEXT($C$22,"00° "),TEXT($D$22,"00,0'  "),TEXT($E$22,"0")))</f>
        <v>23° 00,0' N</v>
      </c>
      <c r="CG18" s="424"/>
    </row>
    <row r="19" spans="2:85" ht="13.5" thickBot="1">
      <c r="B19" s="339"/>
      <c r="C19" s="354"/>
      <c r="D19" s="355"/>
      <c r="E19" s="264"/>
      <c r="F19" s="263"/>
      <c r="G19" s="355"/>
      <c r="H19" s="264"/>
      <c r="I19" s="356" t="s">
        <v>302</v>
      </c>
      <c r="J19" s="356" t="s">
        <v>303</v>
      </c>
      <c r="K19" s="356" t="s">
        <v>305</v>
      </c>
      <c r="L19" s="263"/>
      <c r="M19" s="264"/>
      <c r="N19" s="397"/>
      <c r="O19" s="402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BW19" s="423"/>
      <c r="BX19" s="425" t="s">
        <v>354</v>
      </c>
      <c r="BY19" s="434" t="str">
        <f>IF($C$20="","",CONCATENATE(TEXT($I$20,"00 "),TEXT($J$20,"00 "),TEXT($K$20,"00")))</f>
        <v>000054</v>
      </c>
      <c r="BZ19" s="434" t="str">
        <f>IF($C$21="","",CONCATENATE(TEXT($I$21,"00 "),TEXT($J$21,"00 "),TEXT($K$21,"00")))</f>
        <v>000045</v>
      </c>
      <c r="CA19" s="434" t="str">
        <f>IF($C$22="","",CONCATENATE(TEXT($I$22,"00 "),TEXT($J$22,"00 "),TEXT($K$22,"00")))</f>
        <v>000022</v>
      </c>
      <c r="CB19" s="423"/>
      <c r="CC19" s="224"/>
      <c r="CD19" s="224"/>
      <c r="CE19" s="435" t="s">
        <v>33</v>
      </c>
      <c r="CF19" s="480" t="str">
        <f>IF($C$22="",CONCATENATE(TEXT($F$21,"000° "),TEXT($G$21,"00,0'  "),TEXT($H$21,"0")),CONCATENATE(TEXT($F$22,"000° "),TEXT($G$22,"00,0'  "),TEXT($H$22,"0")))</f>
        <v>088° 30,0' W</v>
      </c>
      <c r="CG19" s="424"/>
    </row>
    <row r="20" spans="2:85" ht="13.5" thickTop="1">
      <c r="B20" s="369" t="s">
        <v>304</v>
      </c>
      <c r="C20" s="357">
        <v>23</v>
      </c>
      <c r="D20" s="358">
        <v>0</v>
      </c>
      <c r="E20" s="359" t="s">
        <v>50</v>
      </c>
      <c r="F20" s="360">
        <v>88</v>
      </c>
      <c r="G20" s="358">
        <v>0</v>
      </c>
      <c r="H20" s="359" t="s">
        <v>34</v>
      </c>
      <c r="I20" s="269">
        <v>17</v>
      </c>
      <c r="J20" s="270">
        <v>21</v>
      </c>
      <c r="K20" s="271">
        <v>54</v>
      </c>
      <c r="L20" s="372">
        <v>66</v>
      </c>
      <c r="M20" s="375">
        <v>49.2</v>
      </c>
      <c r="N20" s="398">
        <v>167.8</v>
      </c>
      <c r="O20" s="403" t="s">
        <v>337</v>
      </c>
      <c r="P20" s="489" t="str">
        <f>IF($C$20="","",CONCATENATE(TEXT($E$47,"0°"),TEXT($F$47," 0,0'")))</f>
        <v>0° 0,7'</v>
      </c>
      <c r="Q20" s="490">
        <f>BY36</f>
        <v>167.80515028219386</v>
      </c>
      <c r="R20" s="524"/>
      <c r="S20" s="525"/>
      <c r="T20" s="526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BW20" s="423"/>
      <c r="BX20" s="425" t="s">
        <v>41</v>
      </c>
      <c r="BY20" s="451" t="str">
        <f>IF($C$20="","",CONCATENATE(TEXT($E$42,"000° "),TEXT($F$42,"00,0'")))</f>
        <v>083° 15,1'</v>
      </c>
      <c r="BZ20" s="451" t="str">
        <f>IF($C$21="","",CONCATENATE(TEXT($T$42,"000° "),TEXT($U$42,"00,0'")))</f>
        <v>101° 58,5'</v>
      </c>
      <c r="CA20" s="451" t="str">
        <f>IF($C$22="","",CONCATENATE(TEXT($AI$42,"000° "),TEXT($AJ$42,"00,0'")))</f>
        <v>121° 22,5'</v>
      </c>
      <c r="CB20" s="472"/>
      <c r="CC20" s="473"/>
      <c r="CD20" s="224"/>
      <c r="CE20" s="435" t="s">
        <v>361</v>
      </c>
      <c r="CF20" s="441">
        <f>$D$9</f>
        <v>24</v>
      </c>
      <c r="CG20" s="424"/>
    </row>
    <row r="21" spans="2:85" ht="12.75">
      <c r="B21" s="370" t="s">
        <v>306</v>
      </c>
      <c r="C21" s="361">
        <v>23</v>
      </c>
      <c r="D21" s="362">
        <v>0</v>
      </c>
      <c r="E21" s="363" t="s">
        <v>50</v>
      </c>
      <c r="F21" s="364">
        <v>88</v>
      </c>
      <c r="G21" s="362">
        <v>0</v>
      </c>
      <c r="H21" s="363" t="s">
        <v>34</v>
      </c>
      <c r="I21" s="276">
        <v>18</v>
      </c>
      <c r="J21" s="277">
        <v>36</v>
      </c>
      <c r="K21" s="278">
        <v>45</v>
      </c>
      <c r="L21" s="373">
        <v>63</v>
      </c>
      <c r="M21" s="376">
        <v>28.8</v>
      </c>
      <c r="N21" s="399">
        <v>212.9</v>
      </c>
      <c r="O21" s="311" t="s">
        <v>337</v>
      </c>
      <c r="P21" s="489" t="str">
        <f>IF($C$21="","",CONCATENATE(TEXT($T$47,"0°"),TEXT($U$47," 0,0'")))</f>
        <v>-0° 0,7'</v>
      </c>
      <c r="Q21" s="490">
        <f>BZ36</f>
        <v>212.9089079742431</v>
      </c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31"/>
      <c r="AD21" s="431"/>
      <c r="AE21" s="431"/>
      <c r="BW21" s="423"/>
      <c r="BX21" s="425" t="s">
        <v>37</v>
      </c>
      <c r="BY21" s="434" t="str">
        <f>IF($C$20="","",CONCATENATE(TEXT($D$30,"000° "),TEXT($E$30,"00,0'  "),TEXT($F$30,"0")))</f>
        <v>023° 00,0' N</v>
      </c>
      <c r="BZ21" s="434" t="str">
        <f>IF($C$21="","",CONCATENATE(TEXT($S$30,"000° "),TEXT($T$30,"00,0'  "),TEXT($U$30,"0")))</f>
        <v>023° 00,0' N</v>
      </c>
      <c r="CA21" s="434" t="str">
        <f>IF($C$22="","",CONCATENATE(TEXT($AH$30,"000° "),TEXT($AI$30,"00,0'  "),TEXT($AJ$30,"0")))</f>
        <v>023° 00,0' N</v>
      </c>
      <c r="CB21" s="472"/>
      <c r="CC21" s="473"/>
      <c r="CD21" s="224"/>
      <c r="CE21" s="435" t="s">
        <v>362</v>
      </c>
      <c r="CF21" s="442">
        <f>$D$8</f>
        <v>13.4</v>
      </c>
      <c r="CG21" s="424"/>
    </row>
    <row r="22" spans="2:85" ht="13.5" thickBot="1">
      <c r="B22" s="371" t="s">
        <v>309</v>
      </c>
      <c r="C22" s="365">
        <v>23</v>
      </c>
      <c r="D22" s="366">
        <v>0</v>
      </c>
      <c r="E22" s="367" t="s">
        <v>50</v>
      </c>
      <c r="F22" s="368">
        <v>88</v>
      </c>
      <c r="G22" s="366">
        <v>30</v>
      </c>
      <c r="H22" s="367" t="s">
        <v>34</v>
      </c>
      <c r="I22" s="282">
        <v>19</v>
      </c>
      <c r="J22" s="283">
        <v>54</v>
      </c>
      <c r="K22" s="284">
        <v>22</v>
      </c>
      <c r="L22" s="374">
        <v>50</v>
      </c>
      <c r="M22" s="377">
        <v>47.4</v>
      </c>
      <c r="N22" s="400">
        <v>239.3</v>
      </c>
      <c r="O22" s="404" t="s">
        <v>337</v>
      </c>
      <c r="P22" s="489" t="str">
        <f>IF($C$22="","",CONCATENATE(TEXT($AI$47,"0°"),TEXT($AJ$47," 0,0'")))</f>
        <v>0° 3,2'</v>
      </c>
      <c r="Q22" s="490">
        <f>CA36</f>
        <v>239.2833458868285</v>
      </c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BW22" s="423"/>
      <c r="BX22" s="425" t="s">
        <v>32</v>
      </c>
      <c r="BY22" s="434" t="str">
        <f>IF($C$20="","",CONCATENATE(TEXT($D$31,"000° "),TEXT($E$31,"00,0'  "),TEXT($F$31,"0")))</f>
        <v>088° 00,0' W</v>
      </c>
      <c r="BZ22" s="434" t="str">
        <f>IF($C$21="","",CONCATENATE(TEXT($S$31,"000° "),TEXT($T$31,"00,0'  "),TEXT($U$31,"0")))</f>
        <v>088° 00,0' W</v>
      </c>
      <c r="CA22" s="434" t="str">
        <f>IF($C$22="","",CONCATENATE(TEXT($AH$31,"000° "),TEXT($AI$31,"00,0'  "),TEXT($AJ$31,"0")))</f>
        <v>088° 30,0' W</v>
      </c>
      <c r="CB22" s="472"/>
      <c r="CC22" s="473"/>
      <c r="CD22" s="224"/>
      <c r="CE22" s="435" t="s">
        <v>363</v>
      </c>
      <c r="CF22" s="443">
        <f>$D$7</f>
        <v>267</v>
      </c>
      <c r="CG22" s="424"/>
    </row>
    <row r="23" spans="18:85" ht="13.5" thickTop="1"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BW23" s="423"/>
      <c r="BX23" s="425" t="s">
        <v>38</v>
      </c>
      <c r="BY23" s="434" t="str">
        <f>IF($C$20="","",CONCATENATE(TEXT($E$37,"000° "),TEXT($F$37,"00,0'")))</f>
        <v>355° 15,1'</v>
      </c>
      <c r="BZ23" s="434" t="str">
        <f>IF($C$21="","",CONCATENATE(TEXT($T$37,"000° "),TEXT($U$37,"00,0'")))</f>
        <v>013° 58,5'</v>
      </c>
      <c r="CA23" s="434" t="str">
        <f>IF($C$22="","",CONCATENATE(TEXT($AI$37,"000° "),TEXT($AJ$37,"00,0'")))</f>
        <v>032° 52,5'</v>
      </c>
      <c r="CB23" s="472"/>
      <c r="CC23" s="473"/>
      <c r="CD23" s="224"/>
      <c r="CE23" s="435" t="s">
        <v>300</v>
      </c>
      <c r="CF23" s="444">
        <f>$D$10</f>
        <v>29</v>
      </c>
      <c r="CG23" s="424"/>
    </row>
    <row r="24" spans="18:85" ht="12.75"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BW24" s="423"/>
      <c r="BX24" s="426" t="s">
        <v>30</v>
      </c>
      <c r="BY24" s="448" t="e">
        <f>IF($C$20="","",IF($D$43&gt;=0,CONCATENATE(TEXT($E$43,"00° "),TEXT($F$43,"00,0' N")),CONCATENATE(TEXT($E$43,"00° "),TEXT($F$43,"00,0' S"))))</f>
        <v>#VALUE!</v>
      </c>
      <c r="BZ24" s="448" t="e">
        <f>IF($C$21="","",IF($S$43&gt;=0,CONCATENATE(TEXT($T$43,"00° "),TEXT($U$43,"00,0' N")),CONCATENATE(TEXT($T$43,"00° "),TEXT($U$43,"00,0' S"))))</f>
        <v>#VALUE!</v>
      </c>
      <c r="CA24" s="448" t="e">
        <f>IF($C$22="","",IF($AH$43&gt;=0,CONCATENATE(TEXT($AI$43,"00° "),TEXT($AJ$43,"00,0' N")),CONCATENATE(TEXT($AI$43,"00° "),TEXT($AJ$43,"00,0' S"))))</f>
        <v>#VALUE!</v>
      </c>
      <c r="CB24" s="472"/>
      <c r="CC24" s="473"/>
      <c r="CD24" s="224"/>
      <c r="CE24" s="435" t="s">
        <v>364</v>
      </c>
      <c r="CF24" s="445">
        <f>$D$11</f>
        <v>760</v>
      </c>
      <c r="CG24" s="424"/>
    </row>
    <row r="25" spans="18:85" ht="12.75"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BW25" s="423"/>
      <c r="BX25" s="224"/>
      <c r="BY25" s="433"/>
      <c r="BZ25" s="433"/>
      <c r="CA25" s="433"/>
      <c r="CB25" s="472"/>
      <c r="CC25" s="473"/>
      <c r="CD25" s="224"/>
      <c r="CE25" s="431"/>
      <c r="CF25" s="431"/>
      <c r="CG25" s="424"/>
    </row>
    <row r="26" spans="2:85" ht="12.75">
      <c r="B26" s="27"/>
      <c r="C26" s="26"/>
      <c r="D26" s="18"/>
      <c r="E26" s="18"/>
      <c r="H26" s="27"/>
      <c r="I26" s="83" t="s">
        <v>46</v>
      </c>
      <c r="O26" s="27"/>
      <c r="Q26" s="27" t="s">
        <v>0</v>
      </c>
      <c r="R26" s="26"/>
      <c r="S26" s="18"/>
      <c r="T26" s="18"/>
      <c r="W26" s="27"/>
      <c r="X26" s="83" t="s">
        <v>47</v>
      </c>
      <c r="Z26" s="26"/>
      <c r="AA26" s="26"/>
      <c r="AB26" s="26"/>
      <c r="AF26" s="27" t="s">
        <v>0</v>
      </c>
      <c r="AG26" s="26"/>
      <c r="AH26" s="18"/>
      <c r="AI26" s="18"/>
      <c r="AL26" s="27"/>
      <c r="AM26" s="83" t="s">
        <v>85</v>
      </c>
      <c r="AU26" s="27" t="s">
        <v>0</v>
      </c>
      <c r="AV26" s="26"/>
      <c r="AW26" s="18"/>
      <c r="AX26" s="18"/>
      <c r="BA26" s="27"/>
      <c r="BB26" s="83"/>
      <c r="BW26" s="423"/>
      <c r="BX26" s="425" t="s">
        <v>367</v>
      </c>
      <c r="BY26" s="451" t="str">
        <f>IF($C$20="","",CONCATENATE(TEXT($L$20,"00° "),TEXT($M$20,"00,0'")))</f>
        <v>66° 49,2'</v>
      </c>
      <c r="BZ26" s="451" t="str">
        <f>IF($C$21="","",CONCATENATE(TEXT($L$21,"00° "),TEXT($M$21,"00,0'")))</f>
        <v>63° 28,8'</v>
      </c>
      <c r="CA26" s="451" t="str">
        <f>IF($C$22="","",CONCATENATE(TEXT($L$22,"00° "),TEXT($M$22,"00,0'")))</f>
        <v>50° 47,4'</v>
      </c>
      <c r="CB26" s="472"/>
      <c r="CC26" s="473"/>
      <c r="CD26" s="224"/>
      <c r="CE26" s="224"/>
      <c r="CF26" s="224"/>
      <c r="CG26" s="424"/>
    </row>
    <row r="27" spans="2:85" ht="12.75">
      <c r="B27" s="26"/>
      <c r="C27" s="17" t="s">
        <v>403</v>
      </c>
      <c r="D27" s="80">
        <f>IF($L$20="","",$D$4)</f>
        <v>22</v>
      </c>
      <c r="E27" s="81">
        <f>IF($L$20="","",$E$4)</f>
        <v>9</v>
      </c>
      <c r="F27" s="82">
        <f>IF($L$20="","",$F$4)</f>
        <v>2000</v>
      </c>
      <c r="G27" s="14" t="s">
        <v>74</v>
      </c>
      <c r="H27" s="69">
        <f>$L$20</f>
        <v>66</v>
      </c>
      <c r="I27" s="340">
        <f>$M$20</f>
        <v>49.2</v>
      </c>
      <c r="O27" s="26"/>
      <c r="Q27" s="26"/>
      <c r="R27" s="17" t="s">
        <v>403</v>
      </c>
      <c r="S27" s="80">
        <f>IF($L$21="","",$D$4)</f>
        <v>22</v>
      </c>
      <c r="T27" s="81">
        <f>IF($L$21="","",$E$4)</f>
        <v>9</v>
      </c>
      <c r="U27" s="82">
        <f>IF($L$21="","",$F$4)</f>
        <v>2000</v>
      </c>
      <c r="V27" s="14" t="s">
        <v>74</v>
      </c>
      <c r="W27" s="69">
        <f>$L$21</f>
        <v>63</v>
      </c>
      <c r="X27" s="340">
        <f>$M$21</f>
        <v>28.8</v>
      </c>
      <c r="Z27" s="26"/>
      <c r="AA27" s="26"/>
      <c r="AB27" s="26"/>
      <c r="AC27" s="14"/>
      <c r="AF27" s="26"/>
      <c r="AG27" s="17" t="s">
        <v>403</v>
      </c>
      <c r="AH27" s="80">
        <f>IF($L$22="","",$D$4)</f>
        <v>22</v>
      </c>
      <c r="AI27" s="81">
        <f>IF($L$22="","",$E$4)</f>
        <v>9</v>
      </c>
      <c r="AJ27" s="82">
        <f>IF($L$22="","",$F$4)</f>
        <v>2000</v>
      </c>
      <c r="AK27" s="14" t="s">
        <v>74</v>
      </c>
      <c r="AL27" s="69">
        <f>$L$22</f>
        <v>50</v>
      </c>
      <c r="AM27" s="340">
        <f>$M$22</f>
        <v>47.4</v>
      </c>
      <c r="AU27" s="26"/>
      <c r="AV27" s="17" t="s">
        <v>403</v>
      </c>
      <c r="AW27" s="80">
        <f>IF($U$5="","",$U$5)</f>
        <v>21</v>
      </c>
      <c r="AX27" s="81">
        <f>IF($U$5="","",$V$5)</f>
        <v>10</v>
      </c>
      <c r="AY27" s="82">
        <f>IF($U$5="","",$W$5)</f>
        <v>2000</v>
      </c>
      <c r="AZ27" s="14" t="s">
        <v>74</v>
      </c>
      <c r="BA27" s="69">
        <f>$L$22</f>
        <v>50</v>
      </c>
      <c r="BB27" s="340">
        <f>$M$22</f>
        <v>47.4</v>
      </c>
      <c r="BW27" s="423"/>
      <c r="BX27" s="425" t="s">
        <v>358</v>
      </c>
      <c r="BY27" s="447">
        <f>IF($C$20="","",$D$12)</f>
        <v>0.1</v>
      </c>
      <c r="BZ27" s="447">
        <f>IF($C$21="","",$D$12)</f>
        <v>0.1</v>
      </c>
      <c r="CA27" s="447">
        <f>IF($C$22="","",$D$12)</f>
        <v>0.1</v>
      </c>
      <c r="CB27" s="472"/>
      <c r="CC27" s="473"/>
      <c r="CD27" s="224"/>
      <c r="CE27" s="224"/>
      <c r="CF27" s="224"/>
      <c r="CG27" s="424"/>
    </row>
    <row r="28" spans="2:85" ht="15.75">
      <c r="B28" s="26"/>
      <c r="C28" s="17" t="s">
        <v>404</v>
      </c>
      <c r="D28" s="72">
        <f>$I$20</f>
        <v>17</v>
      </c>
      <c r="E28" s="73">
        <f>$J$20</f>
        <v>21</v>
      </c>
      <c r="F28" s="74">
        <f>$K$20</f>
        <v>54</v>
      </c>
      <c r="G28" s="14" t="s">
        <v>49</v>
      </c>
      <c r="H28" s="69"/>
      <c r="I28" s="71">
        <f>$D$12</f>
        <v>0.1</v>
      </c>
      <c r="O28" s="26"/>
      <c r="Q28" s="26"/>
      <c r="R28" s="17" t="s">
        <v>404</v>
      </c>
      <c r="S28" s="72">
        <f>$I$21</f>
        <v>18</v>
      </c>
      <c r="T28" s="73">
        <f>$J$21</f>
        <v>36</v>
      </c>
      <c r="U28" s="74">
        <f>$K$21</f>
        <v>45</v>
      </c>
      <c r="V28" s="14" t="s">
        <v>49</v>
      </c>
      <c r="W28" s="69"/>
      <c r="X28" s="71">
        <f>$D$12</f>
        <v>0.1</v>
      </c>
      <c r="Z28" s="26"/>
      <c r="AA28" s="26"/>
      <c r="AB28" s="26"/>
      <c r="AC28" s="14"/>
      <c r="AF28" s="26"/>
      <c r="AG28" s="17" t="s">
        <v>404</v>
      </c>
      <c r="AH28" s="72">
        <f>$I$22</f>
        <v>19</v>
      </c>
      <c r="AI28" s="73">
        <f>$J$22</f>
        <v>54</v>
      </c>
      <c r="AJ28" s="74">
        <f>$K$22</f>
        <v>22</v>
      </c>
      <c r="AK28" s="14" t="s">
        <v>49</v>
      </c>
      <c r="AL28" s="69"/>
      <c r="AM28" s="71">
        <f>$D$12</f>
        <v>0.1</v>
      </c>
      <c r="AU28" s="26"/>
      <c r="AV28" s="17" t="s">
        <v>404</v>
      </c>
      <c r="AW28" s="72">
        <f>$U$6</f>
        <v>17</v>
      </c>
      <c r="AX28" s="73">
        <f>$V$6</f>
        <v>54</v>
      </c>
      <c r="AY28" s="74">
        <f>$W$6</f>
        <v>0</v>
      </c>
      <c r="AZ28" s="14" t="s">
        <v>49</v>
      </c>
      <c r="BA28" s="69"/>
      <c r="BB28" s="71">
        <f>$D$12</f>
        <v>0.1</v>
      </c>
      <c r="BW28" s="423"/>
      <c r="BX28" s="426" t="s">
        <v>316</v>
      </c>
      <c r="BY28" s="447">
        <f>IF($C$20="","",-1.76*SQRT($D$9))</f>
        <v>-8.622203894596787</v>
      </c>
      <c r="BZ28" s="447">
        <f>IF($C$21="","",-1.76*SQRT($D$9))</f>
        <v>-8.622203894596787</v>
      </c>
      <c r="CA28" s="447">
        <f>IF($C$22="","",-1.76*SQRT($D$9))</f>
        <v>-8.622203894596787</v>
      </c>
      <c r="CB28" s="423"/>
      <c r="CC28" s="224"/>
      <c r="CD28" s="224"/>
      <c r="CE28" s="224"/>
      <c r="CF28" s="224"/>
      <c r="CG28" s="424"/>
    </row>
    <row r="29" spans="2:85" ht="15.75">
      <c r="B29" s="26"/>
      <c r="G29" s="22" t="s">
        <v>316</v>
      </c>
      <c r="I29" s="71">
        <f>-1.76*SQRT($D$9)</f>
        <v>-8.622203894596787</v>
      </c>
      <c r="O29" s="26"/>
      <c r="Q29" s="26"/>
      <c r="V29" s="22" t="s">
        <v>316</v>
      </c>
      <c r="X29" s="71">
        <f>-1.76*SQRT($D$9)</f>
        <v>-8.622203894596787</v>
      </c>
      <c r="Z29" s="26"/>
      <c r="AA29" s="26"/>
      <c r="AB29" s="26"/>
      <c r="AC29" s="14"/>
      <c r="AF29" s="26"/>
      <c r="AK29" s="22" t="s">
        <v>316</v>
      </c>
      <c r="AM29" s="71">
        <f>-1.76*SQRT($D$9)</f>
        <v>-8.622203894596787</v>
      </c>
      <c r="AU29" s="26"/>
      <c r="AZ29" s="22" t="s">
        <v>316</v>
      </c>
      <c r="BB29" s="71">
        <f>-1.76*SQRT($D$9)</f>
        <v>-8.622203894596787</v>
      </c>
      <c r="BW29" s="423"/>
      <c r="BX29" s="426" t="s">
        <v>315</v>
      </c>
      <c r="BY29" s="433"/>
      <c r="BZ29" s="433"/>
      <c r="CA29" s="433"/>
      <c r="CB29" s="472"/>
      <c r="CC29" s="473"/>
      <c r="CD29" s="224"/>
      <c r="CE29" s="224"/>
      <c r="CF29" s="224"/>
      <c r="CG29" s="424"/>
    </row>
    <row r="30" spans="2:85" ht="14.25">
      <c r="B30" s="26"/>
      <c r="C30" s="17" t="s">
        <v>31</v>
      </c>
      <c r="D30" s="69">
        <f>$C$20</f>
        <v>23</v>
      </c>
      <c r="E30" s="232">
        <f>$D$20</f>
        <v>0</v>
      </c>
      <c r="F30" s="28" t="str">
        <f>$E$20</f>
        <v>N</v>
      </c>
      <c r="G30" s="22" t="s">
        <v>317</v>
      </c>
      <c r="I30" s="71">
        <f>L73</f>
        <v>-0.4</v>
      </c>
      <c r="O30" s="26"/>
      <c r="Q30" s="26"/>
      <c r="R30" s="17" t="s">
        <v>31</v>
      </c>
      <c r="S30" s="69">
        <f>$C$21</f>
        <v>23</v>
      </c>
      <c r="T30" s="232">
        <f>$D$21</f>
        <v>0</v>
      </c>
      <c r="U30" s="28" t="str">
        <f>$E$21</f>
        <v>N</v>
      </c>
      <c r="V30" s="22" t="s">
        <v>317</v>
      </c>
      <c r="X30" s="71">
        <f>AA73</f>
        <v>-0.5</v>
      </c>
      <c r="Z30" s="26"/>
      <c r="AA30" s="26"/>
      <c r="AB30" s="26"/>
      <c r="AC30" s="14"/>
      <c r="AF30" s="26"/>
      <c r="AG30" s="17" t="s">
        <v>31</v>
      </c>
      <c r="AH30" s="69">
        <f>$C$22</f>
        <v>23</v>
      </c>
      <c r="AI30" s="232">
        <f>$D$22</f>
        <v>0</v>
      </c>
      <c r="AJ30" s="28" t="str">
        <f>$E$22</f>
        <v>N</v>
      </c>
      <c r="AK30" s="22" t="s">
        <v>317</v>
      </c>
      <c r="AM30" s="71">
        <f>AP73</f>
        <v>-0.8</v>
      </c>
      <c r="AU30" s="26"/>
      <c r="AV30" s="17" t="s">
        <v>31</v>
      </c>
      <c r="AW30" s="69">
        <f aca="true" t="shared" si="0" ref="AW30:AY31">U7</f>
        <v>30</v>
      </c>
      <c r="AX30" s="232">
        <f t="shared" si="0"/>
        <v>10</v>
      </c>
      <c r="AY30" s="28" t="str">
        <f t="shared" si="0"/>
        <v>S</v>
      </c>
      <c r="AZ30" s="22" t="s">
        <v>317</v>
      </c>
      <c r="BB30" s="71">
        <f>BE73</f>
        <v>-0.8</v>
      </c>
      <c r="BW30" s="423"/>
      <c r="BX30" s="426" t="s">
        <v>317</v>
      </c>
      <c r="BY30" s="447">
        <f>IF($C$20="","",$I$30)</f>
        <v>-0.4</v>
      </c>
      <c r="BZ30" s="447">
        <f>IF($C$21="","",$X$30)</f>
        <v>-0.5</v>
      </c>
      <c r="CA30" s="447">
        <f>IF($C$22="","",$AM$30)</f>
        <v>-0.8</v>
      </c>
      <c r="CB30" s="474"/>
      <c r="CC30" s="475"/>
      <c r="CD30" s="224"/>
      <c r="CE30" s="224"/>
      <c r="CF30" s="224"/>
      <c r="CG30" s="424"/>
    </row>
    <row r="31" spans="2:85" ht="15.75">
      <c r="B31" s="26"/>
      <c r="C31" s="17" t="s">
        <v>33</v>
      </c>
      <c r="D31" s="246">
        <f>$F$20</f>
        <v>88</v>
      </c>
      <c r="E31" s="232">
        <f>$G$20</f>
        <v>0</v>
      </c>
      <c r="F31" s="28" t="str">
        <f>$H$20</f>
        <v>W</v>
      </c>
      <c r="G31" s="22" t="s">
        <v>339</v>
      </c>
      <c r="H31" s="70"/>
      <c r="I31" s="71">
        <f>N73</f>
        <v>0.1</v>
      </c>
      <c r="L31" s="21"/>
      <c r="O31" s="26"/>
      <c r="Q31" s="26"/>
      <c r="R31" s="17" t="s">
        <v>33</v>
      </c>
      <c r="S31" s="246">
        <f>$F$21</f>
        <v>88</v>
      </c>
      <c r="T31" s="232">
        <f>$G$21</f>
        <v>0</v>
      </c>
      <c r="U31" s="28" t="str">
        <f>$H$21</f>
        <v>W</v>
      </c>
      <c r="V31" s="22" t="s">
        <v>339</v>
      </c>
      <c r="W31" s="70"/>
      <c r="X31" s="71">
        <f>AC73</f>
        <v>0.1</v>
      </c>
      <c r="Z31" s="26"/>
      <c r="AA31" s="26"/>
      <c r="AB31" s="26"/>
      <c r="AC31" s="14"/>
      <c r="AF31" s="26"/>
      <c r="AG31" s="17" t="s">
        <v>33</v>
      </c>
      <c r="AH31" s="246">
        <f>$F$22</f>
        <v>88</v>
      </c>
      <c r="AI31" s="232">
        <f>$G$22</f>
        <v>30</v>
      </c>
      <c r="AJ31" s="28" t="str">
        <f>$H$22</f>
        <v>W</v>
      </c>
      <c r="AK31" s="22" t="s">
        <v>339</v>
      </c>
      <c r="AL31" s="70"/>
      <c r="AM31" s="71">
        <f>AR73</f>
        <v>0.1</v>
      </c>
      <c r="AU31" s="26"/>
      <c r="AV31" s="17" t="s">
        <v>33</v>
      </c>
      <c r="AW31" s="246">
        <f t="shared" si="0"/>
        <v>72</v>
      </c>
      <c r="AX31" s="232">
        <f t="shared" si="0"/>
        <v>23.2</v>
      </c>
      <c r="AY31" s="28" t="str">
        <f t="shared" si="0"/>
        <v>W</v>
      </c>
      <c r="AZ31" s="22" t="s">
        <v>339</v>
      </c>
      <c r="BA31" s="70"/>
      <c r="BB31" s="71">
        <f>BG73</f>
        <v>0.1</v>
      </c>
      <c r="BW31" s="423"/>
      <c r="BX31" s="426" t="s">
        <v>371</v>
      </c>
      <c r="BY31" s="447">
        <f>IF($C$20="","",$I$31)</f>
        <v>0.1</v>
      </c>
      <c r="BZ31" s="447">
        <f>IF($C$21="","",$X$31)</f>
        <v>0.1</v>
      </c>
      <c r="CA31" s="447">
        <f>IF($C$22="","",$AM$31)</f>
        <v>0.1</v>
      </c>
      <c r="CB31" s="474"/>
      <c r="CC31" s="475"/>
      <c r="CD31" s="224"/>
      <c r="CE31" s="224"/>
      <c r="CF31" s="224"/>
      <c r="CG31" s="424"/>
    </row>
    <row r="32" spans="2:85" ht="15.75">
      <c r="B32" s="26"/>
      <c r="G32" s="22" t="s">
        <v>315</v>
      </c>
      <c r="H32" s="70"/>
      <c r="I32" s="71"/>
      <c r="O32" s="26"/>
      <c r="Q32" s="26"/>
      <c r="V32" s="22" t="s">
        <v>315</v>
      </c>
      <c r="W32" s="70"/>
      <c r="X32" s="71"/>
      <c r="Z32" s="26"/>
      <c r="AA32" s="26"/>
      <c r="AB32" s="26"/>
      <c r="AC32" s="14"/>
      <c r="AF32" s="26"/>
      <c r="AK32" s="22" t="s">
        <v>315</v>
      </c>
      <c r="AL32" s="70"/>
      <c r="AM32" s="71"/>
      <c r="AU32" s="26"/>
      <c r="AZ32" s="22" t="s">
        <v>315</v>
      </c>
      <c r="BA32" s="70"/>
      <c r="BB32" s="71"/>
      <c r="BW32" s="423"/>
      <c r="BX32" s="14" t="s">
        <v>372</v>
      </c>
      <c r="BY32" s="447">
        <f>IF($C$20="","",$I$33)</f>
        <v>15.9</v>
      </c>
      <c r="BZ32" s="447">
        <f>IF($C$21="","",$X$33)</f>
        <v>15.9</v>
      </c>
      <c r="CA32" s="447">
        <f>IF($C$22="","",$AM$33)</f>
        <v>15.9</v>
      </c>
      <c r="CB32" s="423"/>
      <c r="CC32" s="224"/>
      <c r="CD32" s="224"/>
      <c r="CE32" s="224"/>
      <c r="CF32" s="224"/>
      <c r="CG32" s="424"/>
    </row>
    <row r="33" spans="2:85" ht="15.75">
      <c r="B33" s="26"/>
      <c r="C33" s="14" t="s">
        <v>48</v>
      </c>
      <c r="D33" s="341">
        <f>$N$20</f>
        <v>167.8</v>
      </c>
      <c r="G33" s="202" t="s">
        <v>338</v>
      </c>
      <c r="I33" s="71">
        <f>IF($O$20="lower",HLOOKUP(E27,$B$99:$M$101,3),-HLOOKUP(E27,$B$99:$M$101,3))</f>
        <v>15.9</v>
      </c>
      <c r="O33" s="26"/>
      <c r="Q33" s="26"/>
      <c r="R33" s="14" t="s">
        <v>48</v>
      </c>
      <c r="S33" s="341">
        <f>$N$21</f>
        <v>212.9</v>
      </c>
      <c r="V33" s="202" t="s">
        <v>338</v>
      </c>
      <c r="X33" s="71">
        <f>IF($O$21="lower",HLOOKUP(T27,$B$99:$M$101,3),-HLOOKUP(T27,$B$99:$M$101,3))</f>
        <v>15.9</v>
      </c>
      <c r="Z33" s="26"/>
      <c r="AA33" s="26"/>
      <c r="AB33" s="26"/>
      <c r="AF33" s="26"/>
      <c r="AG33" s="14" t="s">
        <v>48</v>
      </c>
      <c r="AH33" s="341">
        <f>$N$22</f>
        <v>239.3</v>
      </c>
      <c r="AK33" s="202" t="s">
        <v>338</v>
      </c>
      <c r="AM33" s="71">
        <f>IF($O$22="lower",HLOOKUP(AI27,$B$99:$M$101,3),-HLOOKUP(AI27,$B$99:$M$101,3))</f>
        <v>15.9</v>
      </c>
      <c r="AU33" s="26"/>
      <c r="AV33" s="14" t="s">
        <v>48</v>
      </c>
      <c r="AW33" s="341">
        <f>$U$12</f>
        <v>311</v>
      </c>
      <c r="AZ33" s="202" t="s">
        <v>338</v>
      </c>
      <c r="BB33" s="71">
        <f>IF($O$22="lower",-HLOOKUP(AX27,$B$99:$M$101,3),HLOOKUP(AX27,$B$99:$M$101,3))</f>
        <v>-16.1</v>
      </c>
      <c r="BW33" s="423"/>
      <c r="BX33" s="425" t="s">
        <v>223</v>
      </c>
      <c r="BY33" s="434" t="str">
        <f>IF($C$20="","",CONCATENATE(TEXT($E$45,"00° "),TEXT($F$45,"00,0'")))</f>
        <v>66° 56,3'</v>
      </c>
      <c r="BZ33" s="434" t="str">
        <f>IF($C$21="","",CONCATENATE(TEXT($T$45,"00° "),TEXT($U$45,"00,0'")))</f>
        <v>63° 35,8'</v>
      </c>
      <c r="CA33" s="434" t="str">
        <f>IF($C$22="","",CONCATENATE(TEXT($AI$45,"00° "),TEXT($AJ$45,"00,0'")))</f>
        <v>50° 54,1'</v>
      </c>
      <c r="CB33" s="474"/>
      <c r="CC33" s="475"/>
      <c r="CD33" s="224"/>
      <c r="CE33" s="224"/>
      <c r="CF33" s="224"/>
      <c r="CG33" s="424"/>
    </row>
    <row r="34" spans="15:85" ht="15.75">
      <c r="O34" s="26"/>
      <c r="Z34" s="26"/>
      <c r="AA34" s="26"/>
      <c r="AB34" s="26"/>
      <c r="BW34" s="423"/>
      <c r="BX34" s="425" t="s">
        <v>224</v>
      </c>
      <c r="BY34" s="434" t="str">
        <f>IF($C$20="","",CONCATENATE(TEXT($E$46,"00° "),TEXT($F$46,"00,0'")))</f>
        <v>66° 55,5'</v>
      </c>
      <c r="BZ34" s="434" t="str">
        <f>IF($C$21="","",CONCATENATE(TEXT($T$46,"00° "),TEXT($U$46,"00,0'")))</f>
        <v>63° 36,5'</v>
      </c>
      <c r="CA34" s="434" t="str">
        <f>IF($C$22="","",CONCATENATE(TEXT($AI$46,"00° "),TEXT($AJ$46,"00,0'")))</f>
        <v>50° 50,9'</v>
      </c>
      <c r="CB34" s="474"/>
      <c r="CC34" s="475"/>
      <c r="CD34" s="224"/>
      <c r="CE34" s="224"/>
      <c r="CF34" s="224"/>
      <c r="CG34" s="424"/>
    </row>
    <row r="35" spans="3:85" ht="12.75">
      <c r="C35" s="76"/>
      <c r="O35" s="26"/>
      <c r="R35" s="76"/>
      <c r="Z35" s="26"/>
      <c r="AA35" s="26"/>
      <c r="AB35" s="26"/>
      <c r="AG35" s="76"/>
      <c r="AV35" s="76"/>
      <c r="BW35" s="423"/>
      <c r="BX35" s="425" t="s">
        <v>82</v>
      </c>
      <c r="BY35" s="449">
        <f>IF($C$20="","",$F$47*SIGN($D$47))</f>
        <v>0.7320046609189035</v>
      </c>
      <c r="BZ35" s="449">
        <f>IF($C$21="","",$U$47*SIGN($S$47))</f>
        <v>-0.7071902624102222</v>
      </c>
      <c r="CA35" s="449">
        <f>IF($C$22="","",$AJ$47*SIGN($AH$47))</f>
        <v>3.2118344352694805</v>
      </c>
      <c r="CB35" s="472"/>
      <c r="CC35" s="473"/>
      <c r="CD35" s="224"/>
      <c r="CE35" s="224"/>
      <c r="CF35" s="224"/>
      <c r="CG35" s="424"/>
    </row>
    <row r="36" spans="15:85" ht="12.75">
      <c r="O36" s="26"/>
      <c r="P36" s="17"/>
      <c r="Q36" s="84"/>
      <c r="R36" s="26"/>
      <c r="S36" s="94"/>
      <c r="T36" s="95"/>
      <c r="U36" s="26"/>
      <c r="V36" s="26"/>
      <c r="W36" s="17"/>
      <c r="X36" s="96"/>
      <c r="Y36" s="97"/>
      <c r="Z36" s="98"/>
      <c r="AA36" s="26"/>
      <c r="AB36" s="26"/>
      <c r="BW36" s="423"/>
      <c r="BX36" s="425" t="s">
        <v>359</v>
      </c>
      <c r="BY36" s="450">
        <f>IF($C$20="","",$D$49)</f>
        <v>167.80515028219386</v>
      </c>
      <c r="BZ36" s="450">
        <f>IF($C$21="","",$S$49)</f>
        <v>212.9089079742431</v>
      </c>
      <c r="CA36" s="450">
        <f>IF($C$22="","",$AH$49)</f>
        <v>239.2833458868285</v>
      </c>
      <c r="CB36" s="473"/>
      <c r="CC36" s="473"/>
      <c r="CD36" s="224"/>
      <c r="CE36" s="224"/>
      <c r="CF36" s="224"/>
      <c r="CG36" s="424"/>
    </row>
    <row r="37" spans="3:85" ht="12.75">
      <c r="C37" s="17" t="s">
        <v>38</v>
      </c>
      <c r="D37" s="61">
        <f>IF((D42+D54)&lt;0,D42+D54+360,IF((D42+D54)&gt;360,(D42+D54)-360,D42+D54))</f>
        <v>355.2510092000001</v>
      </c>
      <c r="E37" s="21">
        <f>INT(D37)</f>
        <v>355</v>
      </c>
      <c r="F37" s="59">
        <f>(D37-INT(D37))*60</f>
        <v>15.060552000006737</v>
      </c>
      <c r="G37" t="s">
        <v>34</v>
      </c>
      <c r="H37" s="79" t="s">
        <v>72</v>
      </c>
      <c r="O37" s="26"/>
      <c r="R37" s="17" t="s">
        <v>38</v>
      </c>
      <c r="S37" s="61">
        <f>IF((S42+S54)&lt;0,S42+S54+360,IF((S42+S54)&gt;360,(S42+S54)-360,S42+S54))</f>
        <v>13.975616399999922</v>
      </c>
      <c r="T37" s="21">
        <f>INT(S37)</f>
        <v>13</v>
      </c>
      <c r="U37" s="59">
        <f>(S37-INT(S37))*60</f>
        <v>58.5369839999953</v>
      </c>
      <c r="V37" t="s">
        <v>34</v>
      </c>
      <c r="W37" s="79" t="s">
        <v>72</v>
      </c>
      <c r="Y37" s="97"/>
      <c r="Z37" s="99"/>
      <c r="AA37" s="26"/>
      <c r="AB37" s="26"/>
      <c r="AG37" s="17" t="s">
        <v>38</v>
      </c>
      <c r="AH37" s="61">
        <f>IF((AH42+AH54)&lt;0,AH42+AH54+360,IF((AH42+AH54)&gt;360,(AH42+AH54)-360,AH42+AH54))</f>
        <v>32.87531220000005</v>
      </c>
      <c r="AI37" s="21">
        <f>INT(AH37)</f>
        <v>32</v>
      </c>
      <c r="AJ37" s="59">
        <f>(AH37-INT(AH37))*60</f>
        <v>52.51873200000318</v>
      </c>
      <c r="AK37" t="s">
        <v>34</v>
      </c>
      <c r="AL37" s="79" t="s">
        <v>72</v>
      </c>
      <c r="AN37" s="97"/>
      <c r="AV37" s="17" t="s">
        <v>38</v>
      </c>
      <c r="AW37" s="61">
        <f>IF((AW42+AW54)&lt;0,AW42+AW54+360,IF((AW42+AW54)&gt;360,(AW42+AW54)-360,AW42+AW54))</f>
        <v>20.921067733333288</v>
      </c>
      <c r="AX37" s="21">
        <f>INT(AW37)</f>
        <v>20</v>
      </c>
      <c r="AY37" s="59">
        <f>(AW37-INT(AW37))*60</f>
        <v>55.26406399999729</v>
      </c>
      <c r="AZ37" t="s">
        <v>34</v>
      </c>
      <c r="BA37" s="79" t="s">
        <v>72</v>
      </c>
      <c r="BC37" s="97"/>
      <c r="BW37" s="423"/>
      <c r="BX37" s="224"/>
      <c r="BY37" s="224"/>
      <c r="BZ37" s="224"/>
      <c r="CA37" s="224"/>
      <c r="CB37" s="475"/>
      <c r="CC37" s="475"/>
      <c r="CD37" s="224"/>
      <c r="CE37" s="224"/>
      <c r="CF37" s="224"/>
      <c r="CG37" s="424"/>
    </row>
    <row r="38" spans="3:85" ht="12.75">
      <c r="C38" s="26"/>
      <c r="D38" s="61">
        <f>IF(D37&gt;180,360-D37,D37)</f>
        <v>4.748990799999888</v>
      </c>
      <c r="E38" s="21">
        <f>INT(D38)</f>
        <v>4</v>
      </c>
      <c r="F38" s="59">
        <f>(D38-INT(D38))*60</f>
        <v>44.93944799999326</v>
      </c>
      <c r="G38" s="26" t="str">
        <f>IF(D37&gt;180,"E","W")</f>
        <v>E</v>
      </c>
      <c r="H38" s="79" t="s">
        <v>73</v>
      </c>
      <c r="O38" s="26"/>
      <c r="R38" s="26"/>
      <c r="S38" s="61">
        <f>IF(S37&gt;180,360-S37,S37)</f>
        <v>13.975616399999922</v>
      </c>
      <c r="T38" s="21">
        <f>INT(S38)</f>
        <v>13</v>
      </c>
      <c r="U38" s="59">
        <f>(S38-INT(S38))*60</f>
        <v>58.5369839999953</v>
      </c>
      <c r="V38" s="26" t="str">
        <f>IF(S37&gt;180,"E","W")</f>
        <v>W</v>
      </c>
      <c r="W38" s="79" t="s">
        <v>73</v>
      </c>
      <c r="Y38" s="97"/>
      <c r="Z38" s="98"/>
      <c r="AA38" s="26"/>
      <c r="AB38" s="26"/>
      <c r="AG38" s="26"/>
      <c r="AH38" s="61">
        <f>IF(AH37&gt;180,360-AH37,AH37)</f>
        <v>32.87531220000005</v>
      </c>
      <c r="AI38" s="21">
        <f>INT(AH38)</f>
        <v>32</v>
      </c>
      <c r="AJ38" s="59">
        <f>(AH38-INT(AH38))*60</f>
        <v>52.51873200000318</v>
      </c>
      <c r="AK38" s="26" t="str">
        <f>IF(AH37&gt;180,"E","W")</f>
        <v>W</v>
      </c>
      <c r="AL38" s="79" t="s">
        <v>73</v>
      </c>
      <c r="AN38" s="97"/>
      <c r="AV38" s="26"/>
      <c r="AW38" s="61">
        <f>IF(AW37&gt;180,360-AW37,AW37)</f>
        <v>20.921067733333288</v>
      </c>
      <c r="AX38" s="21">
        <f>INT(AW38)</f>
        <v>20</v>
      </c>
      <c r="AY38" s="59">
        <f>(AW38-INT(AW38))*60</f>
        <v>55.26406399999729</v>
      </c>
      <c r="AZ38" s="26" t="str">
        <f>IF(AW37&gt;180,"E","W")</f>
        <v>W</v>
      </c>
      <c r="BA38" s="79" t="s">
        <v>73</v>
      </c>
      <c r="BC38" s="97"/>
      <c r="BW38" s="423"/>
      <c r="BX38" s="224"/>
      <c r="BY38" s="224"/>
      <c r="BZ38" s="224"/>
      <c r="CA38" s="224"/>
      <c r="CB38" s="476"/>
      <c r="CC38" s="476"/>
      <c r="CD38" s="224"/>
      <c r="CE38" s="224"/>
      <c r="CF38" s="224"/>
      <c r="CG38" s="424"/>
    </row>
    <row r="39" spans="15:85" ht="13.5" thickBot="1">
      <c r="O39" s="26"/>
      <c r="Y39" s="97"/>
      <c r="Z39" s="98"/>
      <c r="AA39" s="26"/>
      <c r="AB39" s="26"/>
      <c r="AN39" s="97"/>
      <c r="BC39" s="97"/>
      <c r="BW39" s="423"/>
      <c r="BX39" s="224"/>
      <c r="BY39" s="224"/>
      <c r="BZ39" s="224"/>
      <c r="CA39" s="224"/>
      <c r="CB39" s="224"/>
      <c r="CC39" s="224"/>
      <c r="CD39" s="224"/>
      <c r="CE39" s="224"/>
      <c r="CF39" s="224"/>
      <c r="CG39" s="424"/>
    </row>
    <row r="40" spans="3:85" ht="12.75">
      <c r="C40" s="14" t="s">
        <v>40</v>
      </c>
      <c r="D40" s="20">
        <f>IF(D63&gt;360,D63-360,D63)</f>
        <v>262.34644320000007</v>
      </c>
      <c r="E40" s="21">
        <f>INT(D40)</f>
        <v>262</v>
      </c>
      <c r="F40" s="59">
        <f>(D40-INT(D40))*60</f>
        <v>20.78659200000402</v>
      </c>
      <c r="H40" s="79" t="s">
        <v>401</v>
      </c>
      <c r="O40" s="26"/>
      <c r="R40" s="14" t="s">
        <v>40</v>
      </c>
      <c r="S40" s="20">
        <f>IF(S63&gt;360,S63-360,S63)</f>
        <v>281.1176943999999</v>
      </c>
      <c r="T40" s="21">
        <f>INT(S40)</f>
        <v>281</v>
      </c>
      <c r="U40" s="59">
        <f>(S40-INT(S40))*60</f>
        <v>7.0616639999934705</v>
      </c>
      <c r="W40" s="79" t="s">
        <v>401</v>
      </c>
      <c r="Y40" s="97"/>
      <c r="Z40" s="26"/>
      <c r="AA40" s="26"/>
      <c r="AB40" s="26"/>
      <c r="AG40" s="14" t="s">
        <v>40</v>
      </c>
      <c r="AH40" s="20">
        <f>IF(AH63&gt;360,AH63-360,AH63)</f>
        <v>300.56493120000005</v>
      </c>
      <c r="AI40" s="21">
        <f>INT(AH40)</f>
        <v>300</v>
      </c>
      <c r="AJ40" s="59">
        <f>(AH40-INT(AH40))*60</f>
        <v>33.89587200000278</v>
      </c>
      <c r="AL40" s="79" t="s">
        <v>401</v>
      </c>
      <c r="AN40" s="97"/>
      <c r="AV40" s="14" t="s">
        <v>40</v>
      </c>
      <c r="AW40" s="20">
        <f>IF(AW63&gt;360,AW63-360,AW63)</f>
        <v>298.9775264</v>
      </c>
      <c r="AX40" s="21">
        <f>INT(AW40)</f>
        <v>298</v>
      </c>
      <c r="AY40" s="59">
        <f>(AW40-INT(AW40))*60</f>
        <v>58.651583999999275</v>
      </c>
      <c r="BA40" s="79" t="s">
        <v>401</v>
      </c>
      <c r="BC40" s="97"/>
      <c r="BW40" s="423"/>
      <c r="BX40" s="488" t="s">
        <v>368</v>
      </c>
      <c r="BY40" s="226"/>
      <c r="BZ40" s="226"/>
      <c r="CA40" s="226"/>
      <c r="CB40" s="226"/>
      <c r="CC40" s="227"/>
      <c r="CD40" s="224"/>
      <c r="CE40" s="224"/>
      <c r="CF40" s="224"/>
      <c r="CG40" s="424"/>
    </row>
    <row r="41" spans="3:85" ht="12.75">
      <c r="C41" s="14" t="s">
        <v>39</v>
      </c>
      <c r="D41" s="20">
        <f>IF((D40+D54)&lt;0,D40+D54+360,D40+D54)</f>
        <v>174.34644320000007</v>
      </c>
      <c r="E41" s="21">
        <f>INT(D41)</f>
        <v>174</v>
      </c>
      <c r="F41" s="59">
        <f>(D41-INT(D41))*60</f>
        <v>20.78659200000402</v>
      </c>
      <c r="G41" t="s">
        <v>34</v>
      </c>
      <c r="H41" s="79" t="s">
        <v>78</v>
      </c>
      <c r="O41" s="26"/>
      <c r="R41" s="14" t="s">
        <v>39</v>
      </c>
      <c r="S41" s="20">
        <f>IF((S40+S54)&lt;0,S40+S54+360,S40+S54)</f>
        <v>193.1176943999999</v>
      </c>
      <c r="T41" s="21">
        <f>INT(S41)</f>
        <v>193</v>
      </c>
      <c r="U41" s="59">
        <f>(S41-INT(S41))*60</f>
        <v>7.0616639999934705</v>
      </c>
      <c r="V41" t="s">
        <v>34</v>
      </c>
      <c r="W41" s="79" t="s">
        <v>78</v>
      </c>
      <c r="Y41" s="100"/>
      <c r="Z41" s="101"/>
      <c r="AA41" s="26"/>
      <c r="AB41" s="26"/>
      <c r="AG41" s="14" t="s">
        <v>39</v>
      </c>
      <c r="AH41" s="20">
        <f>IF((AH40+AH54)&lt;0,AH40+AH54+360,AH40+AH54)</f>
        <v>212.06493120000005</v>
      </c>
      <c r="AI41" s="21">
        <f>INT(AH41)</f>
        <v>212</v>
      </c>
      <c r="AJ41" s="59">
        <f>(AH41-INT(AH41))*60</f>
        <v>3.8958720000027824</v>
      </c>
      <c r="AK41" t="s">
        <v>34</v>
      </c>
      <c r="AL41" s="79" t="s">
        <v>78</v>
      </c>
      <c r="AN41" s="100"/>
      <c r="AV41" s="14" t="s">
        <v>39</v>
      </c>
      <c r="AW41" s="20">
        <f>IF((AW40+AW54)&lt;0,AW40+AW54+360,AW40+AW54)</f>
        <v>226.59085973333333</v>
      </c>
      <c r="AX41" s="21">
        <f>INT(AW41)</f>
        <v>226</v>
      </c>
      <c r="AY41" s="59">
        <f>(AW41-INT(AW41))*60</f>
        <v>35.45158399999991</v>
      </c>
      <c r="AZ41" t="s">
        <v>34</v>
      </c>
      <c r="BA41" s="79" t="s">
        <v>78</v>
      </c>
      <c r="BC41" s="100"/>
      <c r="BW41" s="423"/>
      <c r="BX41" s="228"/>
      <c r="BY41" s="224"/>
      <c r="BZ41" s="224"/>
      <c r="CA41" s="224"/>
      <c r="CB41" s="224"/>
      <c r="CC41" s="229"/>
      <c r="CD41" s="224"/>
      <c r="CE41" s="224"/>
      <c r="CF41" s="224"/>
      <c r="CG41" s="424"/>
    </row>
    <row r="42" spans="3:85" ht="12.75">
      <c r="C42" s="14" t="s">
        <v>41</v>
      </c>
      <c r="D42" s="20">
        <f>(D68+D40)-INT((D68+D40)/360)*360</f>
        <v>83.25100920000011</v>
      </c>
      <c r="E42" s="21">
        <f>INT(D42)</f>
        <v>83</v>
      </c>
      <c r="F42" s="59">
        <f>(D42-INT(D42))*60</f>
        <v>15.060552000006737</v>
      </c>
      <c r="H42" s="79" t="s">
        <v>402</v>
      </c>
      <c r="O42" s="26"/>
      <c r="R42" s="14" t="s">
        <v>41</v>
      </c>
      <c r="S42" s="20">
        <f>(S68+S40)-INT((S68+S40)/360)*360</f>
        <v>101.97561639999992</v>
      </c>
      <c r="T42" s="21">
        <f>INT(S42)</f>
        <v>101</v>
      </c>
      <c r="U42" s="59">
        <f>(S42-INT(S42))*60</f>
        <v>58.5369839999953</v>
      </c>
      <c r="W42" s="79" t="s">
        <v>402</v>
      </c>
      <c r="Y42" s="102"/>
      <c r="Z42" s="98"/>
      <c r="AA42" s="26"/>
      <c r="AB42" s="26"/>
      <c r="AG42" s="14" t="s">
        <v>41</v>
      </c>
      <c r="AH42" s="180">
        <f>(AH68+AH40)-INT((AH68+AH40)/360)*360</f>
        <v>121.37531220000005</v>
      </c>
      <c r="AI42" s="21">
        <f>INT(AH42)</f>
        <v>121</v>
      </c>
      <c r="AJ42" s="59">
        <f>(AH42-INT(AH42))*60</f>
        <v>22.518732000003183</v>
      </c>
      <c r="AL42" s="79" t="s">
        <v>402</v>
      </c>
      <c r="AN42" s="102"/>
      <c r="AV42" s="14" t="s">
        <v>41</v>
      </c>
      <c r="AW42" s="180">
        <f>(AW68+AW40)-INT((AW68+AW40)/360)*360</f>
        <v>93.30773439999996</v>
      </c>
      <c r="AX42" s="21">
        <f>INT(AW42)</f>
        <v>93</v>
      </c>
      <c r="AY42" s="59">
        <f>(AW42-INT(AW42))*60</f>
        <v>18.464063999997506</v>
      </c>
      <c r="BA42" s="79" t="s">
        <v>402</v>
      </c>
      <c r="BC42" s="102"/>
      <c r="BW42" s="423"/>
      <c r="BX42" s="452" t="s">
        <v>102</v>
      </c>
      <c r="BY42" s="453">
        <f>$P$152</f>
        <v>22</v>
      </c>
      <c r="BZ42" s="454">
        <f>$Q$152</f>
        <v>59.82908614540939</v>
      </c>
      <c r="CA42" s="463" t="str">
        <f>$R$152</f>
        <v>N</v>
      </c>
      <c r="CB42" s="487" t="str">
        <f>IF($C$20="","",CONCATENATE(TEXT($K$155,"0"),TEXT($L$155,"0,0°  -  "),TEXT($M$155,"0,0'")))</f>
        <v>C =   265,1° - 2,0'</v>
      </c>
      <c r="CC42" s="229"/>
      <c r="CD42" s="224"/>
      <c r="CE42" s="114"/>
      <c r="CF42" s="224"/>
      <c r="CG42" s="424"/>
    </row>
    <row r="43" spans="3:85" ht="13.5" thickBot="1">
      <c r="C43" s="22" t="s">
        <v>30</v>
      </c>
      <c r="D43" s="25">
        <f>DEGREES(-ATAN(0.4336*SIN(RADIANS(D68))))</f>
        <v>0.3921973986345168</v>
      </c>
      <c r="E43" s="21">
        <f>IF(D43&lt;0,IF((INT(D43)+1)=0,"-0°",INT(D43)+1),INT(D43))</f>
        <v>0</v>
      </c>
      <c r="F43" s="59">
        <f>IF(D43&lt;0,-(D43-E43)*60,(D43-INT(D43))*60)</f>
        <v>23.531843918071008</v>
      </c>
      <c r="H43" s="79" t="s">
        <v>77</v>
      </c>
      <c r="O43" s="26"/>
      <c r="R43" s="22" t="s">
        <v>30</v>
      </c>
      <c r="S43" s="25">
        <f>DEGREES(-ATAN(0.4336*SIN(RADIANS(S68))))</f>
        <v>0.37197585248356235</v>
      </c>
      <c r="T43" s="21">
        <f>IF(S43&lt;0,IF((INT(S43)+1)=0,"-0°",INT(S43)+1),INT(S43))</f>
        <v>0</v>
      </c>
      <c r="U43" s="59">
        <f>IF(S43&lt;0,-(S43-T43)*60,(S43-INT(S43))*60)</f>
        <v>22.318551149013743</v>
      </c>
      <c r="W43" s="79" t="s">
        <v>77</v>
      </c>
      <c r="Y43" s="26"/>
      <c r="Z43" s="26"/>
      <c r="AA43" s="26"/>
      <c r="AB43" s="26"/>
      <c r="AG43" s="22" t="s">
        <v>30</v>
      </c>
      <c r="AH43" s="25">
        <f>DEGREES(-ATAN(0.4336*SIN(RADIANS(AH68))))</f>
        <v>0.35136508153110796</v>
      </c>
      <c r="AI43" s="21">
        <f>IF(AH43&lt;0,IF((INT(AH43)+1)=0,"-0°",INT(AH43)+1),INT(AH43))</f>
        <v>0</v>
      </c>
      <c r="AJ43" s="59">
        <f>IF(AH43&lt;0,-(AH43-AI43)*60,(AH43-INT(AH43))*60)</f>
        <v>21.08190489186648</v>
      </c>
      <c r="AL43" s="79" t="s">
        <v>77</v>
      </c>
      <c r="AN43" s="26"/>
      <c r="AV43" s="22" t="s">
        <v>30</v>
      </c>
      <c r="AW43" s="25">
        <f>DEGREES(-ATAN(0.4336*SIN(RADIANS(AW68))))</f>
        <v>-10.637839999727806</v>
      </c>
      <c r="AX43" s="21">
        <f>IF(AW43&lt;0,IF((INT(AW43)+1)=0,"-0°",INT(AW43)+1),INT(AW43))</f>
        <v>-10</v>
      </c>
      <c r="AY43" s="59">
        <f>IF(AW43&lt;0,-(AW43-AX43)*60,(AW43-INT(AW43))*60)</f>
        <v>38.270399983668355</v>
      </c>
      <c r="BA43" s="79" t="s">
        <v>77</v>
      </c>
      <c r="BC43" s="26"/>
      <c r="BW43" s="423"/>
      <c r="BX43" s="456" t="s">
        <v>103</v>
      </c>
      <c r="BY43" s="457">
        <f>$P$151</f>
        <v>88</v>
      </c>
      <c r="BZ43" s="458">
        <f>$Q$151</f>
        <v>32.17065168133587</v>
      </c>
      <c r="CA43" s="464" t="str">
        <f>$R$151</f>
        <v>W</v>
      </c>
      <c r="CB43" s="465"/>
      <c r="CC43" s="466"/>
      <c r="CD43" s="224"/>
      <c r="CE43" s="224"/>
      <c r="CF43" s="224"/>
      <c r="CG43" s="424"/>
    </row>
    <row r="44" spans="5:85" ht="12.75">
      <c r="E44" s="21"/>
      <c r="O44" s="26"/>
      <c r="T44" s="21"/>
      <c r="Y44" s="26"/>
      <c r="Z44" s="26"/>
      <c r="AA44" s="26"/>
      <c r="AB44" s="26"/>
      <c r="AI44" s="21"/>
      <c r="AN44" s="26"/>
      <c r="AX44" s="21"/>
      <c r="BC44" s="26"/>
      <c r="BW44" s="423"/>
      <c r="BX44" s="224"/>
      <c r="BY44" s="224"/>
      <c r="BZ44" s="224"/>
      <c r="CA44" s="224"/>
      <c r="CB44" s="224"/>
      <c r="CC44" s="224"/>
      <c r="CD44" s="224"/>
      <c r="CE44" s="224"/>
      <c r="CF44" s="224"/>
      <c r="CG44" s="424"/>
    </row>
    <row r="45" spans="3:85" ht="15.75">
      <c r="C45" s="14" t="s">
        <v>81</v>
      </c>
      <c r="D45" s="61">
        <f>H27+SUM(I27:I33)/60</f>
        <v>66.93796326842339</v>
      </c>
      <c r="E45" s="60">
        <f>IF(D45&lt;0,IF((INT(D45)+1)=0,"-0°",INT(D45)+1),INT(D45))</f>
        <v>66</v>
      </c>
      <c r="F45" s="59">
        <f>IF(D45&lt;0,-(D45-E45)*60,(D45-INT(D45))*60)</f>
        <v>56.2777961054033</v>
      </c>
      <c r="H45" s="79" t="s">
        <v>80</v>
      </c>
      <c r="O45" s="26"/>
      <c r="R45" s="14" t="s">
        <v>81</v>
      </c>
      <c r="S45" s="61">
        <f>W27+SUM(X27:X33)/60</f>
        <v>63.59629660175672</v>
      </c>
      <c r="T45" s="60">
        <f>IF(S45&lt;0,IF((INT(S45)+1)=0,"-0°",INT(S45)+1),INT(S45))</f>
        <v>63</v>
      </c>
      <c r="U45" s="59">
        <f>IF(S45&lt;0,-(S45-T45)*60,(S45-INT(S45))*60)</f>
        <v>35.77779610540318</v>
      </c>
      <c r="W45" s="79" t="s">
        <v>80</v>
      </c>
      <c r="Y45" s="26"/>
      <c r="Z45" s="26"/>
      <c r="AA45" s="26"/>
      <c r="AB45" s="26"/>
      <c r="AG45" s="14" t="s">
        <v>81</v>
      </c>
      <c r="AH45" s="61">
        <f>AL27+SUM(AM27:AM33)/60</f>
        <v>50.90129660175672</v>
      </c>
      <c r="AI45" s="60">
        <f>IF(AH45&lt;0,IF((INT(AH45)+1)=0,"-0°",INT(AH45)+1),INT(AH45))</f>
        <v>50</v>
      </c>
      <c r="AJ45" s="59">
        <f>IF(AH45&lt;0,-(AH45-AI45)*60,(AH45-INT(AH45))*60)</f>
        <v>54.077796105403166</v>
      </c>
      <c r="AL45" s="79" t="s">
        <v>80</v>
      </c>
      <c r="AN45" s="26"/>
      <c r="AV45" s="14" t="s">
        <v>81</v>
      </c>
      <c r="AW45" s="61">
        <f>BA27+SUM(BB27:BB33)/60</f>
        <v>50.36796326842339</v>
      </c>
      <c r="AX45" s="60">
        <f>IF(AW45&lt;0,IF((INT(AW45)+1)=0,"-0°",INT(AW45)+1),INT(AW45))</f>
        <v>50</v>
      </c>
      <c r="AY45" s="59">
        <f>IF(AW45&lt;0,-(AW45-AX45)*60,(AW45-INT(AW45))*60)</f>
        <v>22.07779610540328</v>
      </c>
      <c r="BA45" s="79" t="s">
        <v>80</v>
      </c>
      <c r="BC45" s="26"/>
      <c r="BW45" s="423"/>
      <c r="BX45" s="224"/>
      <c r="BY45" s="224"/>
      <c r="BZ45" s="224"/>
      <c r="CA45" s="224"/>
      <c r="CB45" s="224"/>
      <c r="CC45" s="224"/>
      <c r="CD45" s="224"/>
      <c r="CE45" s="224"/>
      <c r="CF45" s="224"/>
      <c r="CG45" s="424"/>
    </row>
    <row r="46" spans="3:97" ht="15.75">
      <c r="C46" s="85" t="s">
        <v>79</v>
      </c>
      <c r="D46" s="86">
        <f>DEGREES(ASIN(SIN(RADIANS(D53))*SIN(RADIANS(D43))+COS(RADIANS(D53))*COS(RADIANS(D43))*COS(RADIANS(D38))))</f>
        <v>66.9257631907414</v>
      </c>
      <c r="E46" s="60">
        <f>IF(D46&lt;0,IF((INT(D46)+1)=0,"-0°",INT(D46)+1),INT(D46))</f>
        <v>66</v>
      </c>
      <c r="F46" s="59">
        <f>IF(D46&lt;0,-(D46-E46)*60,(D46-INT(D46))*60)</f>
        <v>55.545791444484394</v>
      </c>
      <c r="H46" s="79" t="s">
        <v>76</v>
      </c>
      <c r="O46" s="26"/>
      <c r="R46" s="85" t="s">
        <v>79</v>
      </c>
      <c r="S46" s="86">
        <f>DEGREES(ASIN(SIN(RADIANS(S53))*SIN(RADIANS(S43))+COS(RADIANS(S53))*COS(RADIANS(S43))*COS(RADIANS(S38))))</f>
        <v>63.60808310613022</v>
      </c>
      <c r="T46" s="60">
        <f>IF(S46&lt;0,IF((INT(S46)+1)=0,"-0°",INT(S46)+1),INT(S46))</f>
        <v>63</v>
      </c>
      <c r="U46" s="59">
        <f>IF(S46&lt;0,-(S46-T46)*60,(S46-INT(S46))*60)</f>
        <v>36.484986367813406</v>
      </c>
      <c r="W46" s="79" t="s">
        <v>76</v>
      </c>
      <c r="Y46" s="26"/>
      <c r="Z46" s="26"/>
      <c r="AA46" s="26"/>
      <c r="AB46" s="26"/>
      <c r="AG46" s="85" t="s">
        <v>79</v>
      </c>
      <c r="AH46" s="86">
        <f>DEGREES(ASIN(SIN(RADIANS(AH53))*SIN(RADIANS(AH43))+COS(RADIANS(AH53))*COS(RADIANS(AH43))*COS(RADIANS(AH38))))</f>
        <v>50.84776602783556</v>
      </c>
      <c r="AI46" s="60">
        <f>IF(AH46&lt;0,IF((INT(AH46)+1)=0,"-0°",INT(AH46)+1),INT(AH46))</f>
        <v>50</v>
      </c>
      <c r="AJ46" s="59">
        <f>IF(AH46&lt;0,-(AH46-AI46)*60,(AH46-INT(AH46))*60)</f>
        <v>50.865961670133686</v>
      </c>
      <c r="AL46" s="79" t="s">
        <v>76</v>
      </c>
      <c r="AN46" s="26"/>
      <c r="AV46" s="85" t="s">
        <v>79</v>
      </c>
      <c r="AW46" s="86">
        <f>DEGREES(ASIN(SIN(RADIANS(AW53))*SIN(RADIANS(AW43))+COS(RADIANS(AW53))*COS(RADIANS(AW43))*COS(RADIANS(AW38))))</f>
        <v>62.431096228498035</v>
      </c>
      <c r="AX46" s="60">
        <f>IF(AW46&lt;0,IF((INT(AW46)+1)=0,"-0°",INT(AW46)+1),INT(AW46))</f>
        <v>62</v>
      </c>
      <c r="AY46" s="59">
        <f>IF(AW46&lt;0,-(AW46-AX46)*60,(AW46-INT(AW46))*60)</f>
        <v>25.86577370988209</v>
      </c>
      <c r="BA46" s="79" t="s">
        <v>76</v>
      </c>
      <c r="BC46" s="26"/>
      <c r="BW46" s="423"/>
      <c r="BX46" s="224"/>
      <c r="BY46" s="224"/>
      <c r="BZ46" s="224"/>
      <c r="CA46" s="224"/>
      <c r="CB46" s="224"/>
      <c r="CC46" s="224"/>
      <c r="CD46" s="224"/>
      <c r="CE46" s="224"/>
      <c r="CF46" s="224"/>
      <c r="CG46" s="424"/>
      <c r="CI46" s="411"/>
      <c r="CJ46" s="411"/>
      <c r="CK46" s="411"/>
      <c r="CL46" s="411"/>
      <c r="CM46" s="411"/>
      <c r="CN46" s="411"/>
      <c r="CO46" s="411"/>
      <c r="CP46" s="411"/>
      <c r="CQ46" s="411"/>
      <c r="CR46" s="411"/>
      <c r="CS46" s="411"/>
    </row>
    <row r="47" spans="3:97" ht="12.75">
      <c r="C47" s="14" t="s">
        <v>82</v>
      </c>
      <c r="D47" s="61">
        <f>D45-D46</f>
        <v>0.012200077681981725</v>
      </c>
      <c r="E47" s="60">
        <f>IF(D47&lt;0,IF((INT(D47)+1)=0,"-0°",INT(D47)+1),INT(D47))</f>
        <v>0</v>
      </c>
      <c r="F47" s="59">
        <f>IF(D47&lt;0,-(D47-E47)*60,(D47-INT(D47))*60)</f>
        <v>0.7320046609189035</v>
      </c>
      <c r="H47" s="79" t="s">
        <v>83</v>
      </c>
      <c r="O47" s="26"/>
      <c r="R47" s="14" t="s">
        <v>82</v>
      </c>
      <c r="S47" s="61">
        <f>S45-S46</f>
        <v>-0.011786504373503703</v>
      </c>
      <c r="T47" s="60" t="str">
        <f>IF(S47&lt;0,IF((INT(S47)+1)=0,"-0°",INT(S47)+1),INT(S47))</f>
        <v>-0°</v>
      </c>
      <c r="U47" s="59">
        <f>IF(S47&lt;0,-(S47-T47)*60,(S47-INT(S47))*60)</f>
        <v>0.7071902624102222</v>
      </c>
      <c r="W47" s="79" t="s">
        <v>83</v>
      </c>
      <c r="Y47" s="26"/>
      <c r="Z47" s="26"/>
      <c r="AA47" s="26"/>
      <c r="AB47" s="26"/>
      <c r="AG47" s="14" t="s">
        <v>82</v>
      </c>
      <c r="AH47" s="61">
        <f>AH45-AH46</f>
        <v>0.05353057392115801</v>
      </c>
      <c r="AI47" s="60">
        <f>IF(AH47&lt;0,IF((INT(AH47)+1)=0,"-0°",INT(AH47)+1),INT(AH47))</f>
        <v>0</v>
      </c>
      <c r="AJ47" s="59">
        <f>IF(AH47&lt;0,-(AH47-AI47)*60,(AH47-INT(AH47))*60)</f>
        <v>3.2118344352694805</v>
      </c>
      <c r="AL47" s="79" t="s">
        <v>83</v>
      </c>
      <c r="AN47" s="26"/>
      <c r="AV47" s="14" t="s">
        <v>82</v>
      </c>
      <c r="AW47" s="61">
        <f>AW45-AW46</f>
        <v>-12.063132960074647</v>
      </c>
      <c r="AX47" s="60">
        <f>IF(AW47&lt;0,IF((INT(AW47)+1)=0,"-0°",INT(AW47)+1),INT(AW47))</f>
        <v>-12</v>
      </c>
      <c r="AY47" s="59">
        <f>IF(AW47&lt;0,-(AW47-AX47)*60,(AW47-INT(AW47))*60)</f>
        <v>3.7879776044788116</v>
      </c>
      <c r="BA47" s="79" t="s">
        <v>83</v>
      </c>
      <c r="BC47" s="26"/>
      <c r="BW47" s="423"/>
      <c r="BX47" s="224"/>
      <c r="BY47" s="224"/>
      <c r="BZ47" s="224"/>
      <c r="CA47" s="224"/>
      <c r="CB47" s="224"/>
      <c r="CC47" s="224"/>
      <c r="CD47" s="224"/>
      <c r="CE47" s="224"/>
      <c r="CF47" s="224"/>
      <c r="CG47" s="424"/>
      <c r="CH47" s="411"/>
      <c r="CI47" s="411"/>
      <c r="CJ47" s="411"/>
      <c r="CK47" s="411"/>
      <c r="CL47" s="411"/>
      <c r="CM47" s="411"/>
      <c r="CN47" s="411"/>
      <c r="CO47" s="411"/>
      <c r="CP47" s="411"/>
      <c r="CQ47" s="411"/>
      <c r="CR47" s="411"/>
      <c r="CS47" s="411"/>
    </row>
    <row r="48" spans="15:97" ht="12.75">
      <c r="O48" s="26"/>
      <c r="Y48" s="26"/>
      <c r="Z48" s="26"/>
      <c r="AA48" s="26"/>
      <c r="AB48" s="26"/>
      <c r="AN48" s="26"/>
      <c r="BC48" s="26"/>
      <c r="BW48" s="423"/>
      <c r="BX48" s="224"/>
      <c r="BY48" s="224"/>
      <c r="BZ48" s="224"/>
      <c r="CA48" s="224"/>
      <c r="CB48" s="224"/>
      <c r="CC48" s="224"/>
      <c r="CD48" s="224"/>
      <c r="CE48" s="224"/>
      <c r="CF48" s="224"/>
      <c r="CG48" s="424"/>
      <c r="CH48" s="411"/>
      <c r="CI48" s="411"/>
      <c r="CJ48" s="411"/>
      <c r="CK48" s="411"/>
      <c r="CL48" s="411"/>
      <c r="CM48" s="411"/>
      <c r="CN48" s="411"/>
      <c r="CO48" s="411"/>
      <c r="CP48" s="411"/>
      <c r="CQ48" s="411"/>
      <c r="CR48" s="411"/>
      <c r="CS48" s="411"/>
    </row>
    <row r="49" spans="3:97" ht="12.75">
      <c r="C49" s="14" t="s">
        <v>42</v>
      </c>
      <c r="D49" s="76">
        <f>IF(G49="NW",360-E49,IF(G49="NE",E49,IF(G49="SW",180+E49,180-E49)))</f>
        <v>167.80515028219386</v>
      </c>
      <c r="E49" s="53">
        <f>IF(D73&lt;0,D73+180,D73)</f>
        <v>167.80515028219386</v>
      </c>
      <c r="G49" s="52" t="str">
        <f>IF(F30="N",IF(D37&gt;180,"NE","NW"),IF(D37&gt;180,"SE","SW"))</f>
        <v>NE</v>
      </c>
      <c r="H49" s="79" t="s">
        <v>75</v>
      </c>
      <c r="O49" s="26"/>
      <c r="R49" s="14" t="s">
        <v>42</v>
      </c>
      <c r="S49" s="54">
        <f>IF(V49="NW",360-T49,IF(V49="NE",T49,IF(V49="SW",180+T49,180-T49)))</f>
        <v>212.9089079742431</v>
      </c>
      <c r="T49" s="53">
        <f>IF(S73&lt;0,S73+180,S73)</f>
        <v>147.0910920257569</v>
      </c>
      <c r="V49" s="52" t="str">
        <f>IF(U30="N",IF(S37&gt;180,"NE","NW"),IF(S37&gt;180,"SE","SW"))</f>
        <v>NW</v>
      </c>
      <c r="W49" s="79" t="s">
        <v>75</v>
      </c>
      <c r="Y49" s="26"/>
      <c r="Z49" s="26"/>
      <c r="AA49" s="26"/>
      <c r="AB49" s="26"/>
      <c r="AG49" s="14" t="s">
        <v>42</v>
      </c>
      <c r="AH49" s="54">
        <f>IF(AK49="NW",360-AI49,IF(AK49="NE",AI49,IF(AK49="SW",180+AI49,180-AI49)))</f>
        <v>239.2833458868285</v>
      </c>
      <c r="AI49" s="53">
        <f>IF(AH73&lt;0,AH73+180,AH73)</f>
        <v>120.7166541131715</v>
      </c>
      <c r="AK49" s="52" t="str">
        <f>IF(AJ30="N",IF(AH37&gt;180,"NE","NW"),IF(AH37&gt;180,"SE","SW"))</f>
        <v>NW</v>
      </c>
      <c r="AL49" s="79" t="s">
        <v>75</v>
      </c>
      <c r="AN49" s="26"/>
      <c r="AV49" s="14" t="s">
        <v>42</v>
      </c>
      <c r="AW49" s="54">
        <f>IF(AZ49="NW",360-AX49,IF(AZ49="NE",AX49,IF(AZ49="SW",180+AX49,180-AX49)))</f>
        <v>310.6869719497242</v>
      </c>
      <c r="AX49" s="53">
        <f>IF(AW73&lt;0,AW73+180,AW73)</f>
        <v>130.68697194972418</v>
      </c>
      <c r="AZ49" s="52" t="str">
        <f>IF(AY30="N",IF(AW37&gt;180,"NE","NW"),IF(AW37&gt;180,"SE","SW"))</f>
        <v>SW</v>
      </c>
      <c r="BA49" s="79" t="s">
        <v>75</v>
      </c>
      <c r="BC49" s="26"/>
      <c r="BW49" s="423"/>
      <c r="BX49" s="224"/>
      <c r="BY49" s="224"/>
      <c r="BZ49" s="224"/>
      <c r="CA49" s="224"/>
      <c r="CB49" s="224"/>
      <c r="CC49" s="224"/>
      <c r="CD49" s="224"/>
      <c r="CE49" s="224"/>
      <c r="CF49" s="224"/>
      <c r="CG49" s="424"/>
      <c r="CH49" s="411"/>
      <c r="CI49" s="411"/>
      <c r="CJ49" s="411"/>
      <c r="CK49" s="411"/>
      <c r="CL49" s="411"/>
      <c r="CM49" s="411"/>
      <c r="CN49" s="411"/>
      <c r="CO49" s="411"/>
      <c r="CP49" s="411"/>
      <c r="CQ49" s="411"/>
      <c r="CR49" s="411"/>
      <c r="CS49" s="411"/>
    </row>
    <row r="50" spans="4:97" ht="12.75">
      <c r="D50" s="7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F50" s="26"/>
      <c r="AG50" s="26"/>
      <c r="AH50" s="26"/>
      <c r="AI50" s="26"/>
      <c r="AJ50" s="26"/>
      <c r="AK50" s="26"/>
      <c r="AL50" s="26"/>
      <c r="AM50" s="26"/>
      <c r="AN50" s="26"/>
      <c r="AU50" s="26"/>
      <c r="AV50" s="26"/>
      <c r="AW50" s="26"/>
      <c r="AX50" s="26"/>
      <c r="AY50" s="26"/>
      <c r="AZ50" s="26"/>
      <c r="BA50" s="26"/>
      <c r="BB50" s="26"/>
      <c r="BC50" s="26"/>
      <c r="BW50" s="423"/>
      <c r="BX50" s="224"/>
      <c r="BY50" s="224"/>
      <c r="BZ50" s="224"/>
      <c r="CA50" s="224"/>
      <c r="CB50" s="224"/>
      <c r="CC50" s="224"/>
      <c r="CD50" s="224"/>
      <c r="CE50" s="224"/>
      <c r="CF50" s="224"/>
      <c r="CG50" s="424"/>
      <c r="CH50" s="411"/>
      <c r="CI50" s="411"/>
      <c r="CJ50" s="411"/>
      <c r="CK50" s="411"/>
      <c r="CL50" s="411"/>
      <c r="CM50" s="411"/>
      <c r="CN50" s="411"/>
      <c r="CO50" s="411"/>
      <c r="CP50" s="411"/>
      <c r="CQ50" s="411"/>
      <c r="CR50" s="411"/>
      <c r="CS50" s="411"/>
    </row>
    <row r="51" spans="1:97" ht="12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W51" s="423"/>
      <c r="BX51" s="224"/>
      <c r="BY51" s="224"/>
      <c r="BZ51" s="224"/>
      <c r="CA51" s="224"/>
      <c r="CB51" s="224"/>
      <c r="CC51" s="224"/>
      <c r="CD51" s="224"/>
      <c r="CE51" s="224"/>
      <c r="CF51" s="224"/>
      <c r="CG51" s="424"/>
      <c r="CH51" s="411"/>
      <c r="CI51" s="411"/>
      <c r="CJ51" s="411"/>
      <c r="CK51" s="411"/>
      <c r="CL51" s="411"/>
      <c r="CM51" s="411"/>
      <c r="CN51" s="411"/>
      <c r="CO51" s="411"/>
      <c r="CP51" s="411"/>
      <c r="CQ51" s="411"/>
      <c r="CR51" s="411"/>
      <c r="CS51" s="411"/>
    </row>
    <row r="52" spans="74:97" ht="12.75">
      <c r="BV52" s="411"/>
      <c r="BW52" s="423"/>
      <c r="BX52" s="224"/>
      <c r="BY52" s="224"/>
      <c r="BZ52" s="224"/>
      <c r="CA52" s="224"/>
      <c r="CB52" s="224"/>
      <c r="CC52" s="224"/>
      <c r="CD52" s="224"/>
      <c r="CE52" s="224"/>
      <c r="CF52" s="224"/>
      <c r="CG52" s="424"/>
      <c r="CH52" s="411"/>
      <c r="CI52" s="411"/>
      <c r="CJ52" s="411"/>
      <c r="CK52" s="411"/>
      <c r="CL52" s="411"/>
      <c r="CM52" s="411"/>
      <c r="CN52" s="411"/>
      <c r="CO52" s="411"/>
      <c r="CP52" s="411"/>
      <c r="CQ52" s="411"/>
      <c r="CR52" s="411"/>
      <c r="CS52" s="411"/>
    </row>
    <row r="53" spans="3:97" ht="12.75">
      <c r="C53" s="14" t="s">
        <v>37</v>
      </c>
      <c r="D53" s="15">
        <f>IF(F30="S",-(E30/60+D30),E30/60+D30)</f>
        <v>23</v>
      </c>
      <c r="E53" s="79" t="s">
        <v>59</v>
      </c>
      <c r="F53" s="79" t="s">
        <v>66</v>
      </c>
      <c r="R53" s="14" t="s">
        <v>37</v>
      </c>
      <c r="S53" s="15">
        <f>IF(U30="S",-(T30/60+S30),T30/60+S30)</f>
        <v>23</v>
      </c>
      <c r="T53" s="79" t="s">
        <v>59</v>
      </c>
      <c r="U53" s="79" t="s">
        <v>66</v>
      </c>
      <c r="AG53" s="14" t="s">
        <v>37</v>
      </c>
      <c r="AH53" s="15">
        <f>IF(AJ30="S",-(AI30/60+AH30),AI30/60+AH30)</f>
        <v>23</v>
      </c>
      <c r="AI53" s="79" t="s">
        <v>59</v>
      </c>
      <c r="AJ53" s="79" t="s">
        <v>66</v>
      </c>
      <c r="AV53" s="14" t="s">
        <v>37</v>
      </c>
      <c r="AW53" s="15">
        <f>IF(AY30="S",-(AX30/60+AW30),AX30/60+AW30)</f>
        <v>-30.166666666666668</v>
      </c>
      <c r="AX53" s="79" t="s">
        <v>59</v>
      </c>
      <c r="AY53" s="79" t="s">
        <v>66</v>
      </c>
      <c r="BW53" s="423"/>
      <c r="BX53" s="224"/>
      <c r="BY53" s="224"/>
      <c r="BZ53" s="224"/>
      <c r="CA53" s="224"/>
      <c r="CB53" s="224"/>
      <c r="CC53" s="224"/>
      <c r="CD53" s="224"/>
      <c r="CE53" s="224"/>
      <c r="CF53" s="224"/>
      <c r="CG53" s="424"/>
      <c r="CH53" s="411"/>
      <c r="CI53" s="411"/>
      <c r="CJ53" s="411"/>
      <c r="CK53" s="411"/>
      <c r="CL53" s="411"/>
      <c r="CM53" s="411"/>
      <c r="CN53" s="411"/>
      <c r="CO53" s="411"/>
      <c r="CP53" s="411"/>
      <c r="CQ53" s="411"/>
      <c r="CR53" s="411"/>
      <c r="CS53" s="411"/>
    </row>
    <row r="54" spans="3:97" ht="12.75">
      <c r="C54" s="14" t="s">
        <v>32</v>
      </c>
      <c r="D54" s="15">
        <f>IF(F31="W",-(E31/60+D31),E31/60+D31)</f>
        <v>-88</v>
      </c>
      <c r="E54" s="79" t="s">
        <v>59</v>
      </c>
      <c r="F54" s="79" t="s">
        <v>67</v>
      </c>
      <c r="R54" s="14" t="s">
        <v>32</v>
      </c>
      <c r="S54" s="15">
        <f>IF(U31="W",-(T31/60+S31),T31/60+S31)</f>
        <v>-88</v>
      </c>
      <c r="T54" s="79" t="s">
        <v>59</v>
      </c>
      <c r="U54" s="79" t="s">
        <v>67</v>
      </c>
      <c r="AG54" s="14" t="s">
        <v>32</v>
      </c>
      <c r="AH54" s="15">
        <f>IF(AJ31="W",-(AI31/60+AH31),AI31/60+AH31)</f>
        <v>-88.5</v>
      </c>
      <c r="AI54" s="79" t="s">
        <v>59</v>
      </c>
      <c r="AJ54" s="79" t="s">
        <v>67</v>
      </c>
      <c r="AV54" s="14" t="s">
        <v>32</v>
      </c>
      <c r="AW54" s="15">
        <f>IF(AY31="W",-(AX31/60+AW31),AX31/60+AW31)</f>
        <v>-72.38666666666667</v>
      </c>
      <c r="AX54" s="79" t="s">
        <v>59</v>
      </c>
      <c r="AY54" s="79" t="s">
        <v>67</v>
      </c>
      <c r="BW54" s="423"/>
      <c r="BX54" s="224"/>
      <c r="BY54" s="224"/>
      <c r="BZ54" s="224"/>
      <c r="CA54" s="224"/>
      <c r="CB54" s="224"/>
      <c r="CC54" s="224"/>
      <c r="CD54" s="224"/>
      <c r="CE54" s="224"/>
      <c r="CF54" s="224"/>
      <c r="CG54" s="424"/>
      <c r="CH54" s="411"/>
      <c r="CI54" s="411"/>
      <c r="CJ54" s="411"/>
      <c r="CK54" s="411"/>
      <c r="CL54" s="411"/>
      <c r="CM54" s="411"/>
      <c r="CN54" s="411"/>
      <c r="CO54" s="411"/>
      <c r="CP54" s="411"/>
      <c r="CQ54" s="411"/>
      <c r="CR54" s="411"/>
      <c r="CS54" s="411"/>
    </row>
    <row r="55" spans="75:97" ht="12.75">
      <c r="BW55" s="423"/>
      <c r="BX55" s="224"/>
      <c r="BY55" s="224"/>
      <c r="BZ55" s="224"/>
      <c r="CA55" s="224"/>
      <c r="CB55" s="224"/>
      <c r="CC55" s="224"/>
      <c r="CD55" s="224"/>
      <c r="CE55" s="224"/>
      <c r="CF55" s="224"/>
      <c r="CG55" s="424"/>
      <c r="CH55" s="411"/>
      <c r="CI55" s="411"/>
      <c r="CJ55" s="411"/>
      <c r="CK55" s="411"/>
      <c r="CL55" s="411"/>
      <c r="CM55" s="411"/>
      <c r="CN55" s="411"/>
      <c r="CO55" s="411"/>
      <c r="CP55" s="411"/>
      <c r="CQ55" s="411"/>
      <c r="CR55" s="411"/>
      <c r="CS55" s="411"/>
    </row>
    <row r="56" spans="3:97" ht="12.75">
      <c r="C56" s="14" t="s">
        <v>4</v>
      </c>
      <c r="D56" s="15">
        <f>IF(D28=0,"-",ROUND(D28+(F28/60+E28)/60,3))</f>
        <v>17.365</v>
      </c>
      <c r="E56" t="s">
        <v>69</v>
      </c>
      <c r="F56" s="79" t="s">
        <v>53</v>
      </c>
      <c r="R56" s="14" t="s">
        <v>4</v>
      </c>
      <c r="S56" s="15">
        <f>IF(S28=0,"-",ROUND(S28+(U28/60+T28)/60,3))</f>
        <v>18.613</v>
      </c>
      <c r="T56" t="s">
        <v>69</v>
      </c>
      <c r="U56" s="79" t="s">
        <v>53</v>
      </c>
      <c r="AG56" s="14" t="s">
        <v>4</v>
      </c>
      <c r="AH56" s="15">
        <f>IF(AH28=0,"-",ROUND(AH28+(AJ28/60+AI28)/60,3))</f>
        <v>19.906</v>
      </c>
      <c r="AI56" t="s">
        <v>69</v>
      </c>
      <c r="AJ56" s="79" t="s">
        <v>53</v>
      </c>
      <c r="AV56" s="14" t="s">
        <v>4</v>
      </c>
      <c r="AW56" s="15">
        <f>IF(AW28=0,"-",ROUND(AW28+(AY28/60+AX28)/60,3))</f>
        <v>17.9</v>
      </c>
      <c r="AX56" t="s">
        <v>69</v>
      </c>
      <c r="AY56" s="79" t="s">
        <v>53</v>
      </c>
      <c r="BW56" s="423"/>
      <c r="BX56" s="224"/>
      <c r="BY56" s="224"/>
      <c r="BZ56" s="224"/>
      <c r="CA56" s="224"/>
      <c r="CB56" s="224"/>
      <c r="CC56" s="224"/>
      <c r="CD56" s="224"/>
      <c r="CE56" s="224"/>
      <c r="CF56" s="224"/>
      <c r="CG56" s="424"/>
      <c r="CH56" s="411"/>
      <c r="CI56" s="411"/>
      <c r="CJ56" s="411"/>
      <c r="CK56" s="411"/>
      <c r="CL56" s="411"/>
      <c r="CM56" s="411"/>
      <c r="CN56" s="411"/>
      <c r="CO56" s="411"/>
      <c r="CP56" s="411"/>
      <c r="CQ56" s="411"/>
      <c r="CR56" s="411"/>
      <c r="CS56" s="411"/>
    </row>
    <row r="57" spans="3:97" ht="12.75">
      <c r="C57" s="14" t="s">
        <v>4</v>
      </c>
      <c r="D57" s="15">
        <f>IF(D56=0,"-",ROUND(D56*15,3))</f>
        <v>260.475</v>
      </c>
      <c r="E57" t="s">
        <v>70</v>
      </c>
      <c r="F57" s="79" t="s">
        <v>54</v>
      </c>
      <c r="R57" s="14" t="s">
        <v>4</v>
      </c>
      <c r="S57" s="15">
        <f>IF(S56=0,"-",ROUND(S56*15,3))</f>
        <v>279.195</v>
      </c>
      <c r="T57" t="s">
        <v>70</v>
      </c>
      <c r="U57" s="79" t="s">
        <v>54</v>
      </c>
      <c r="AG57" s="14" t="s">
        <v>4</v>
      </c>
      <c r="AH57" s="15">
        <f>IF(AH56=0,"-",ROUND(AH56*15,3))</f>
        <v>298.59</v>
      </c>
      <c r="AI57" t="s">
        <v>70</v>
      </c>
      <c r="AJ57" s="79" t="s">
        <v>54</v>
      </c>
      <c r="AV57" s="14" t="s">
        <v>4</v>
      </c>
      <c r="AW57" s="15">
        <f>IF(AW56=0,"-",ROUND(AW56*15,3))</f>
        <v>268.5</v>
      </c>
      <c r="AX57" t="s">
        <v>70</v>
      </c>
      <c r="AY57" s="79" t="s">
        <v>54</v>
      </c>
      <c r="BW57" s="423"/>
      <c r="BX57" s="224"/>
      <c r="BY57" s="224"/>
      <c r="BZ57" s="224"/>
      <c r="CA57" s="224"/>
      <c r="CB57" s="224"/>
      <c r="CC57" s="224"/>
      <c r="CD57" s="224"/>
      <c r="CE57" s="224"/>
      <c r="CF57" s="224"/>
      <c r="CG57" s="424"/>
      <c r="CH57" s="411"/>
      <c r="CI57" s="411"/>
      <c r="CJ57" s="411"/>
      <c r="CK57" s="411"/>
      <c r="CL57" s="411"/>
      <c r="CM57" s="411"/>
      <c r="CN57" s="411"/>
      <c r="CO57" s="411"/>
      <c r="CP57" s="411"/>
      <c r="CQ57" s="411"/>
      <c r="CR57" s="411"/>
      <c r="CS57" s="411"/>
    </row>
    <row r="58" spans="3:97" ht="12.75">
      <c r="C58" s="14" t="s">
        <v>3</v>
      </c>
      <c r="D58" s="15">
        <f>IF(D27=0,"-",ROUND(D27+D56/24,3))</f>
        <v>22.724</v>
      </c>
      <c r="E58" t="s">
        <v>71</v>
      </c>
      <c r="F58" s="79" t="s">
        <v>55</v>
      </c>
      <c r="R58" s="14" t="s">
        <v>3</v>
      </c>
      <c r="S58" s="15">
        <f>IF(S27=0,"-",ROUND(S27+S56/24,3))</f>
        <v>22.776</v>
      </c>
      <c r="T58" t="s">
        <v>71</v>
      </c>
      <c r="U58" s="79" t="s">
        <v>55</v>
      </c>
      <c r="AG58" s="14" t="s">
        <v>3</v>
      </c>
      <c r="AH58" s="15">
        <f>IF(AH27=0,"-",ROUND(AH27+AH56/24,3))</f>
        <v>22.829</v>
      </c>
      <c r="AI58" t="s">
        <v>71</v>
      </c>
      <c r="AJ58" s="79" t="s">
        <v>55</v>
      </c>
      <c r="AV58" s="14" t="s">
        <v>3</v>
      </c>
      <c r="AW58" s="15">
        <f>IF(AW27=0,"-",ROUND(AW27+AW56/24,3))</f>
        <v>21.746</v>
      </c>
      <c r="AX58" t="s">
        <v>71</v>
      </c>
      <c r="AY58" s="79" t="s">
        <v>55</v>
      </c>
      <c r="BW58" s="423"/>
      <c r="BX58" s="431"/>
      <c r="BY58" s="431"/>
      <c r="BZ58" s="431"/>
      <c r="CA58" s="431"/>
      <c r="CB58" s="431"/>
      <c r="CC58" s="431"/>
      <c r="CD58" s="431"/>
      <c r="CE58" s="431"/>
      <c r="CF58" s="431"/>
      <c r="CG58" s="424"/>
      <c r="CH58" s="411"/>
      <c r="CI58" s="411"/>
      <c r="CJ58" s="411"/>
      <c r="CK58" s="411"/>
      <c r="CL58" s="411"/>
      <c r="CM58" s="411"/>
      <c r="CN58" s="411"/>
      <c r="CO58" s="411"/>
      <c r="CP58" s="411"/>
      <c r="CQ58" s="411"/>
      <c r="CR58" s="411"/>
      <c r="CS58" s="411"/>
    </row>
    <row r="59" spans="3:97" ht="12.75">
      <c r="C59" s="14" t="s">
        <v>5</v>
      </c>
      <c r="D59" s="15">
        <f>IF(D60=1,IF(E27&lt;3,HLOOKUP(F27,$B$94:$P$96,2),HLOOKUP(F27,$B$94:$P$96,3)),HLOOKUP(F27,$B$94:$P$96,2))</f>
        <v>0.398</v>
      </c>
      <c r="E59" t="s">
        <v>71</v>
      </c>
      <c r="F59" s="79" t="s">
        <v>56</v>
      </c>
      <c r="R59" s="14" t="s">
        <v>5</v>
      </c>
      <c r="S59" s="15">
        <f>IF(S60=1,IF(T27&lt;3,HLOOKUP(U27,$B$94:$P$96,2),HLOOKUP(U27,$B$94:$P$96,3)),HLOOKUP(U27,$B$94:$P$96,2))</f>
        <v>0.398</v>
      </c>
      <c r="T59" t="s">
        <v>71</v>
      </c>
      <c r="U59" s="79" t="s">
        <v>56</v>
      </c>
      <c r="AG59" s="14" t="s">
        <v>5</v>
      </c>
      <c r="AH59" s="15">
        <f>IF(AH60=1,IF(AI27&lt;3,HLOOKUP(AJ27,$B$94:$P$96,2),HLOOKUP(AJ27,$B$94:$P$96,3)),HLOOKUP(AJ27,$B$94:$P$96,2))</f>
        <v>0.398</v>
      </c>
      <c r="AI59" t="s">
        <v>71</v>
      </c>
      <c r="AJ59" s="79" t="s">
        <v>56</v>
      </c>
      <c r="AV59" s="14" t="s">
        <v>5</v>
      </c>
      <c r="AW59" s="15">
        <f>IF(AW60=1,IF(AX27&lt;3,HLOOKUP(AY27,$B$94:$P$96,2),HLOOKUP(AY27,$B$94:$P$96,3)),HLOOKUP(AY27,$B$94:$P$96,2))</f>
        <v>0.398</v>
      </c>
      <c r="AX59" t="s">
        <v>71</v>
      </c>
      <c r="AY59" s="79" t="s">
        <v>56</v>
      </c>
      <c r="BW59" s="423"/>
      <c r="BX59" s="224"/>
      <c r="BY59" s="224"/>
      <c r="BZ59" s="224"/>
      <c r="CA59" s="224"/>
      <c r="CB59" s="224"/>
      <c r="CC59" s="224"/>
      <c r="CD59" s="224"/>
      <c r="CE59" s="224"/>
      <c r="CF59" s="224"/>
      <c r="CG59" s="424"/>
      <c r="CH59" s="411"/>
      <c r="CI59" s="411"/>
      <c r="CJ59" s="411"/>
      <c r="CK59" s="411"/>
      <c r="CL59" s="411"/>
      <c r="CM59" s="411"/>
      <c r="CN59" s="411"/>
      <c r="CO59" s="411"/>
      <c r="CP59" s="411"/>
      <c r="CQ59" s="411"/>
      <c r="CR59" s="411"/>
      <c r="CS59" s="411"/>
    </row>
    <row r="60" spans="3:97" ht="12.75">
      <c r="C60" s="14" t="s">
        <v>6</v>
      </c>
      <c r="D60" s="51" t="b">
        <f>OR(F27=1988,F27=1992,F27=1996,F27=2000)</f>
        <v>1</v>
      </c>
      <c r="F60" s="79" t="s">
        <v>57</v>
      </c>
      <c r="R60" s="14" t="s">
        <v>6</v>
      </c>
      <c r="S60" s="51" t="b">
        <f>OR(U27=1988,U27=1992,U27=1996,U27=2000)</f>
        <v>1</v>
      </c>
      <c r="U60" s="79" t="s">
        <v>57</v>
      </c>
      <c r="AG60" s="14" t="s">
        <v>6</v>
      </c>
      <c r="AH60" s="51" t="b">
        <f>OR(AJ27=1988,AJ27=1992,AJ27=1996,AJ27=2000)</f>
        <v>1</v>
      </c>
      <c r="AJ60" s="79" t="s">
        <v>57</v>
      </c>
      <c r="AV60" s="14" t="s">
        <v>6</v>
      </c>
      <c r="AW60" s="51" t="b">
        <f>OR(AY27=1988,AY27=1992,AY27=1996,AY27=2000)</f>
        <v>1</v>
      </c>
      <c r="AY60" s="79" t="s">
        <v>57</v>
      </c>
      <c r="BW60" s="423"/>
      <c r="BX60" s="224"/>
      <c r="BY60" s="224"/>
      <c r="BZ60" s="224"/>
      <c r="CA60" s="224"/>
      <c r="CB60" s="224"/>
      <c r="CC60" s="224"/>
      <c r="CD60" s="224"/>
      <c r="CE60" s="224"/>
      <c r="CF60" s="224"/>
      <c r="CG60" s="424"/>
      <c r="CH60" s="411"/>
      <c r="CI60" s="411"/>
      <c r="CJ60" s="411"/>
      <c r="CK60" s="411"/>
      <c r="CL60" s="411"/>
      <c r="CM60" s="411"/>
      <c r="CN60" s="411"/>
      <c r="CO60" s="411"/>
      <c r="CP60" s="411"/>
      <c r="CQ60" s="411"/>
      <c r="CR60" s="411"/>
      <c r="CS60" s="411"/>
    </row>
    <row r="61" spans="3:97" ht="12.75">
      <c r="C61" s="14" t="s">
        <v>7</v>
      </c>
      <c r="D61" s="15">
        <f>D58-1+D59</f>
        <v>22.122</v>
      </c>
      <c r="E61" t="s">
        <v>71</v>
      </c>
      <c r="F61" s="79" t="s">
        <v>58</v>
      </c>
      <c r="R61" s="14" t="s">
        <v>7</v>
      </c>
      <c r="S61" s="15">
        <f>S58-1+S59</f>
        <v>22.174</v>
      </c>
      <c r="T61" t="s">
        <v>71</v>
      </c>
      <c r="U61" s="79" t="s">
        <v>58</v>
      </c>
      <c r="AG61" s="14" t="s">
        <v>7</v>
      </c>
      <c r="AH61" s="15">
        <f>AH58-1+AH59</f>
        <v>22.227</v>
      </c>
      <c r="AI61" t="s">
        <v>71</v>
      </c>
      <c r="AJ61" s="79" t="s">
        <v>58</v>
      </c>
      <c r="AV61" s="14" t="s">
        <v>7</v>
      </c>
      <c r="AW61" s="15">
        <f>AW58-1+AW59</f>
        <v>21.144</v>
      </c>
      <c r="AX61" t="s">
        <v>71</v>
      </c>
      <c r="AY61" s="79" t="s">
        <v>58</v>
      </c>
      <c r="BW61" s="423"/>
      <c r="BX61" s="224"/>
      <c r="BY61" s="224"/>
      <c r="BZ61" s="224"/>
      <c r="CA61" s="224"/>
      <c r="CB61" s="224"/>
      <c r="CC61" s="224"/>
      <c r="CD61" s="224"/>
      <c r="CE61" s="224"/>
      <c r="CF61" s="224"/>
      <c r="CG61" s="424"/>
      <c r="CH61" s="411"/>
      <c r="CI61" s="411"/>
      <c r="CJ61" s="411"/>
      <c r="CK61" s="411"/>
      <c r="CL61" s="411"/>
      <c r="CM61" s="411"/>
      <c r="CN61" s="411"/>
      <c r="CO61" s="411"/>
      <c r="CP61" s="411"/>
      <c r="CQ61" s="411"/>
      <c r="CR61" s="411"/>
      <c r="CS61" s="411"/>
    </row>
    <row r="62" spans="3:97" ht="12.75">
      <c r="C62" s="14" t="s">
        <v>8</v>
      </c>
      <c r="D62" s="15">
        <f>HLOOKUP(E27,$B$99:$M$100,2)</f>
        <v>340.068</v>
      </c>
      <c r="E62" s="79" t="s">
        <v>59</v>
      </c>
      <c r="F62" s="79" t="s">
        <v>60</v>
      </c>
      <c r="R62" s="14" t="s">
        <v>8</v>
      </c>
      <c r="S62" s="15">
        <f>HLOOKUP(T27,$B$99:$M$100,2)</f>
        <v>340.068</v>
      </c>
      <c r="T62" s="79" t="s">
        <v>59</v>
      </c>
      <c r="U62" s="79" t="s">
        <v>60</v>
      </c>
      <c r="AG62" s="14" t="s">
        <v>8</v>
      </c>
      <c r="AH62" s="15">
        <f>HLOOKUP(AI27,$B$99:$M$100,2)</f>
        <v>340.068</v>
      </c>
      <c r="AI62" s="79" t="s">
        <v>59</v>
      </c>
      <c r="AJ62" s="79" t="s">
        <v>60</v>
      </c>
      <c r="AV62" s="14" t="s">
        <v>8</v>
      </c>
      <c r="AW62" s="15">
        <f>HLOOKUP(AX27,$B$99:$M$100,2)</f>
        <v>9.638</v>
      </c>
      <c r="AX62" s="79" t="s">
        <v>59</v>
      </c>
      <c r="AY62" s="79" t="s">
        <v>60</v>
      </c>
      <c r="BW62" s="423"/>
      <c r="BX62" s="224"/>
      <c r="BY62" s="224"/>
      <c r="BZ62" s="224"/>
      <c r="CA62" s="224"/>
      <c r="CB62" s="224"/>
      <c r="CC62" s="224"/>
      <c r="CD62" s="224"/>
      <c r="CE62" s="224"/>
      <c r="CF62" s="224"/>
      <c r="CG62" s="424"/>
      <c r="CH62" s="411"/>
      <c r="CI62" s="411"/>
      <c r="CJ62" s="411"/>
      <c r="CK62" s="411"/>
      <c r="CL62" s="411"/>
      <c r="CM62" s="411"/>
      <c r="CN62" s="411"/>
      <c r="CO62" s="411"/>
      <c r="CP62" s="411"/>
      <c r="CQ62" s="411"/>
      <c r="CR62" s="411"/>
      <c r="CS62" s="411"/>
    </row>
    <row r="63" spans="3:97" ht="12.75">
      <c r="C63" s="14" t="s">
        <v>29</v>
      </c>
      <c r="D63" s="15">
        <f>0.9856*D61+D62+D57</f>
        <v>622.3464432000001</v>
      </c>
      <c r="E63" s="79" t="s">
        <v>59</v>
      </c>
      <c r="F63" s="79" t="s">
        <v>61</v>
      </c>
      <c r="R63" s="14" t="s">
        <v>29</v>
      </c>
      <c r="S63" s="15">
        <f>0.9856*S61+S62+S57</f>
        <v>641.1176943999999</v>
      </c>
      <c r="T63" s="79" t="s">
        <v>59</v>
      </c>
      <c r="U63" s="79" t="s">
        <v>61</v>
      </c>
      <c r="AG63" s="14" t="s">
        <v>29</v>
      </c>
      <c r="AH63" s="15">
        <f>0.9856*AH61+AH62+AH57</f>
        <v>660.5649312</v>
      </c>
      <c r="AI63" s="79" t="s">
        <v>59</v>
      </c>
      <c r="AJ63" s="79" t="s">
        <v>61</v>
      </c>
      <c r="AV63" s="14" t="s">
        <v>29</v>
      </c>
      <c r="AW63" s="15">
        <f>0.9856*AW61+AW62+AW57</f>
        <v>298.9775264</v>
      </c>
      <c r="AX63" s="79" t="s">
        <v>59</v>
      </c>
      <c r="AY63" s="79" t="s">
        <v>61</v>
      </c>
      <c r="BW63" s="423"/>
      <c r="BX63" s="224"/>
      <c r="BY63" s="224"/>
      <c r="BZ63" s="224"/>
      <c r="CA63" s="224"/>
      <c r="CB63" s="224"/>
      <c r="CC63" s="224"/>
      <c r="CD63" s="224"/>
      <c r="CE63" s="224"/>
      <c r="CF63" s="224"/>
      <c r="CG63" s="424"/>
      <c r="CH63" s="411"/>
      <c r="CI63" s="411"/>
      <c r="CJ63" s="411"/>
      <c r="CK63" s="411"/>
      <c r="CL63" s="411"/>
      <c r="CM63" s="411"/>
      <c r="CN63" s="411"/>
      <c r="CO63" s="411"/>
      <c r="CP63" s="411"/>
      <c r="CQ63" s="411"/>
      <c r="CR63" s="411"/>
      <c r="CS63" s="411"/>
    </row>
    <row r="64" spans="4:97" ht="12.75">
      <c r="D64" s="15"/>
      <c r="S64" s="15"/>
      <c r="AH64" s="15"/>
      <c r="AW64" s="15"/>
      <c r="BW64" s="423"/>
      <c r="BX64" s="224"/>
      <c r="BY64" s="224"/>
      <c r="BZ64" s="224"/>
      <c r="CA64" s="224"/>
      <c r="CB64" s="224"/>
      <c r="CC64" s="224"/>
      <c r="CD64" s="224"/>
      <c r="CE64" s="224"/>
      <c r="CF64" s="224"/>
      <c r="CG64" s="424"/>
      <c r="CH64" s="411"/>
      <c r="CI64" s="411"/>
      <c r="CJ64" s="411"/>
      <c r="CK64" s="411"/>
      <c r="CL64" s="411"/>
      <c r="CM64" s="411"/>
      <c r="CN64" s="411"/>
      <c r="CO64" s="411"/>
      <c r="CP64" s="411"/>
      <c r="CQ64" s="411"/>
      <c r="CR64" s="411"/>
      <c r="CS64" s="411"/>
    </row>
    <row r="65" spans="3:97" ht="15.75">
      <c r="C65" s="22" t="s">
        <v>27</v>
      </c>
      <c r="D65" s="50">
        <f>IF(D60=0,VLOOKUP(D27,$B$80:$AA$90,E27*2+1),VLOOKUP(D27,$C$80:$AA$90,E27*2))</f>
        <v>183.705</v>
      </c>
      <c r="E65" s="79" t="s">
        <v>59</v>
      </c>
      <c r="F65" s="79" t="s">
        <v>63</v>
      </c>
      <c r="R65" s="22" t="s">
        <v>27</v>
      </c>
      <c r="S65" s="50">
        <f>IF(S60=0,VLOOKUP(S27,$B$80:$AA$90,T27*2+1),VLOOKUP(S27,$C$80:$AA$90,T27*2))</f>
        <v>183.705</v>
      </c>
      <c r="T65" s="79" t="s">
        <v>59</v>
      </c>
      <c r="U65" s="79" t="s">
        <v>63</v>
      </c>
      <c r="AG65" s="22" t="s">
        <v>27</v>
      </c>
      <c r="AH65" s="50">
        <f>IF(AH60=0,VLOOKUP(AH27,$B$80:$AA$90,AI27*2+1),VLOOKUP(AH27,$C$80:$AA$90,AI27*2))</f>
        <v>183.705</v>
      </c>
      <c r="AI65" s="79" t="s">
        <v>59</v>
      </c>
      <c r="AJ65" s="79" t="s">
        <v>63</v>
      </c>
      <c r="AV65" s="22" t="s">
        <v>27</v>
      </c>
      <c r="AW65" s="50">
        <f>IF(AW60=0,VLOOKUP(AW27,$B$80:$AA$90,AX27*2+1),VLOOKUP(AW27,$C$80:$AA$90,AX27*2))</f>
        <v>156.352</v>
      </c>
      <c r="AX65" s="79" t="s">
        <v>59</v>
      </c>
      <c r="AY65" s="79" t="s">
        <v>63</v>
      </c>
      <c r="BW65" s="423"/>
      <c r="BX65" s="224"/>
      <c r="BY65" s="224"/>
      <c r="BZ65" s="224"/>
      <c r="CA65" s="224"/>
      <c r="CB65" s="224"/>
      <c r="CC65" s="224"/>
      <c r="CD65" s="224"/>
      <c r="CE65" s="224"/>
      <c r="CF65" s="224"/>
      <c r="CG65" s="424"/>
      <c r="CH65" s="411"/>
      <c r="CI65" s="411"/>
      <c r="CJ65" s="411"/>
      <c r="CK65" s="411"/>
      <c r="CL65" s="411"/>
      <c r="CM65" s="411"/>
      <c r="CN65" s="411"/>
      <c r="CO65" s="411"/>
      <c r="CP65" s="411"/>
      <c r="CQ65" s="411"/>
      <c r="CR65" s="411"/>
      <c r="CS65" s="411"/>
    </row>
    <row r="66" spans="3:97" ht="12.75">
      <c r="C66" s="22" t="s">
        <v>13</v>
      </c>
      <c r="D66" s="23">
        <f>IF(D60=0,VLOOKUP(D27,$B$80:$AA$90,E27*2+2),VLOOKUP(D27,$C$80:$AA$90,E27*2+1))</f>
        <v>-0.897</v>
      </c>
      <c r="E66" s="79" t="s">
        <v>59</v>
      </c>
      <c r="F66" s="79" t="s">
        <v>62</v>
      </c>
      <c r="R66" s="22" t="s">
        <v>13</v>
      </c>
      <c r="S66" s="23">
        <f>IF(S60=0,VLOOKUP(S27,$B$80:$AA$90,T27*2+2),VLOOKUP(S27,$C$80:$AA$90,T27*2+1))</f>
        <v>-0.897</v>
      </c>
      <c r="T66" s="79" t="s">
        <v>59</v>
      </c>
      <c r="U66" s="79" t="s">
        <v>62</v>
      </c>
      <c r="AG66" s="22" t="s">
        <v>13</v>
      </c>
      <c r="AH66" s="23">
        <f>IF(AH60=0,VLOOKUP(AH27,$B$80:$AA$90,AI27*2+2),VLOOKUP(AH27,$C$80:$AA$90,AI27*2+1))</f>
        <v>-0.897</v>
      </c>
      <c r="AI66" s="79" t="s">
        <v>59</v>
      </c>
      <c r="AJ66" s="79" t="s">
        <v>62</v>
      </c>
      <c r="AV66" s="22" t="s">
        <v>13</v>
      </c>
      <c r="AW66" s="23">
        <f>IF(AW60=0,VLOOKUP(AW27,$B$80:$AA$90,AX27*2+2),VLOOKUP(AW27,$C$80:$AA$90,AX27*2+1))</f>
        <v>-0.943</v>
      </c>
      <c r="AX66" s="79" t="s">
        <v>59</v>
      </c>
      <c r="AY66" s="79" t="s">
        <v>62</v>
      </c>
      <c r="BW66" s="423"/>
      <c r="BX66" s="224"/>
      <c r="BY66" s="224"/>
      <c r="BZ66" s="224"/>
      <c r="CA66" s="224"/>
      <c r="CB66" s="224"/>
      <c r="CC66" s="224"/>
      <c r="CD66" s="224"/>
      <c r="CE66" s="224"/>
      <c r="CF66" s="224"/>
      <c r="CG66" s="424"/>
      <c r="CH66" s="411"/>
      <c r="CI66" s="411"/>
      <c r="CJ66" s="411"/>
      <c r="CK66" s="411"/>
      <c r="CL66" s="411"/>
      <c r="CM66" s="411"/>
      <c r="CN66" s="411"/>
      <c r="CO66" s="411"/>
      <c r="CP66" s="411"/>
      <c r="CQ66" s="411"/>
      <c r="CR66" s="411"/>
      <c r="CS66" s="411"/>
    </row>
    <row r="67" spans="3:97" ht="15.75">
      <c r="C67" s="14" t="s">
        <v>28</v>
      </c>
      <c r="D67" s="50">
        <f>IF(D60=0,VLOOKUP(D27,$B$80:$B$90,1),VLOOKUP(D27,$C$80:$C$90,1))</f>
        <v>20</v>
      </c>
      <c r="E67" t="s">
        <v>65</v>
      </c>
      <c r="F67" s="79" t="s">
        <v>64</v>
      </c>
      <c r="R67" s="14" t="s">
        <v>28</v>
      </c>
      <c r="S67" s="50">
        <f>IF(S60=0,VLOOKUP(S27,$B$80:$B$90,1),VLOOKUP(S27,$C$80:$C$90,1))</f>
        <v>20</v>
      </c>
      <c r="T67" t="s">
        <v>65</v>
      </c>
      <c r="U67" s="79" t="s">
        <v>64</v>
      </c>
      <c r="AG67" s="14" t="s">
        <v>28</v>
      </c>
      <c r="AH67" s="50">
        <f>IF(AH60=0,VLOOKUP(AH27,$B$80:$B$90,1),VLOOKUP(AH27,$C$80:$C$90,1))</f>
        <v>20</v>
      </c>
      <c r="AI67" t="s">
        <v>65</v>
      </c>
      <c r="AJ67" s="79" t="s">
        <v>64</v>
      </c>
      <c r="AV67" s="14" t="s">
        <v>28</v>
      </c>
      <c r="AW67" s="50">
        <f>IF(AW60=0,VLOOKUP(AW27,$B$80:$B$90,1),VLOOKUP(AW27,$C$80:$C$90,1))</f>
        <v>20</v>
      </c>
      <c r="AX67" t="s">
        <v>65</v>
      </c>
      <c r="AY67" s="79" t="s">
        <v>64</v>
      </c>
      <c r="BW67" s="423"/>
      <c r="BX67" s="224"/>
      <c r="BY67" s="224"/>
      <c r="BZ67" s="224"/>
      <c r="CA67" s="224"/>
      <c r="CB67" s="224"/>
      <c r="CC67" s="224"/>
      <c r="CD67" s="224"/>
      <c r="CE67" s="224"/>
      <c r="CF67" s="224"/>
      <c r="CG67" s="424"/>
      <c r="CH67" s="411"/>
      <c r="CI67" s="411"/>
      <c r="CJ67" s="411"/>
      <c r="CK67" s="411"/>
      <c r="CL67" s="411"/>
      <c r="CM67" s="411"/>
      <c r="CN67" s="411"/>
      <c r="CO67" s="411"/>
      <c r="CP67" s="411"/>
      <c r="CQ67" s="411"/>
      <c r="CR67" s="411"/>
      <c r="CS67" s="411"/>
    </row>
    <row r="68" spans="3:97" ht="12.75">
      <c r="C68" s="22" t="s">
        <v>12</v>
      </c>
      <c r="D68" s="24">
        <f>D65+D66*(D61+1-D67)</f>
        <v>180.90456600000002</v>
      </c>
      <c r="E68" s="79" t="s">
        <v>59</v>
      </c>
      <c r="F68" s="79" t="s">
        <v>68</v>
      </c>
      <c r="R68" s="22" t="s">
        <v>12</v>
      </c>
      <c r="S68" s="24">
        <f>S65+S66*(S61+1-S67)</f>
        <v>180.857922</v>
      </c>
      <c r="T68" s="79" t="s">
        <v>59</v>
      </c>
      <c r="U68" s="79" t="s">
        <v>68</v>
      </c>
      <c r="AG68" s="22" t="s">
        <v>12</v>
      </c>
      <c r="AH68" s="24">
        <f>AH65+AH66*(AH61+1-AH67)</f>
        <v>180.810381</v>
      </c>
      <c r="AI68" s="79" t="s">
        <v>59</v>
      </c>
      <c r="AJ68" s="79" t="s">
        <v>68</v>
      </c>
      <c r="AV68" s="22" t="s">
        <v>12</v>
      </c>
      <c r="AW68" s="24">
        <f>AW65+AW66*(AW61+1-AW67)</f>
        <v>154.330208</v>
      </c>
      <c r="AX68" s="79" t="s">
        <v>59</v>
      </c>
      <c r="AY68" s="79" t="s">
        <v>68</v>
      </c>
      <c r="BW68" s="423"/>
      <c r="BX68" s="224"/>
      <c r="BY68" s="224"/>
      <c r="BZ68" s="224"/>
      <c r="CA68" s="224"/>
      <c r="CB68" s="224"/>
      <c r="CC68" s="224"/>
      <c r="CD68" s="224"/>
      <c r="CE68" s="224"/>
      <c r="CF68" s="224"/>
      <c r="CG68" s="424"/>
      <c r="CH68" s="411"/>
      <c r="CI68" s="411"/>
      <c r="CJ68" s="411"/>
      <c r="CK68" s="411"/>
      <c r="CL68" s="411"/>
      <c r="CM68" s="411"/>
      <c r="CN68" s="411"/>
      <c r="CO68" s="411"/>
      <c r="CP68" s="411"/>
      <c r="CQ68" s="411"/>
      <c r="CR68" s="411"/>
      <c r="CS68" s="411"/>
    </row>
    <row r="69" spans="75:97" ht="13.5" thickBot="1">
      <c r="BW69" s="423"/>
      <c r="BX69" s="224"/>
      <c r="BY69" s="224"/>
      <c r="BZ69" s="224"/>
      <c r="CA69" s="224"/>
      <c r="CB69" s="224"/>
      <c r="CC69" s="224"/>
      <c r="CD69" s="224"/>
      <c r="CE69" s="224"/>
      <c r="CF69" s="224"/>
      <c r="CG69" s="424"/>
      <c r="CH69" s="411"/>
      <c r="CI69" s="411"/>
      <c r="CJ69" s="411"/>
      <c r="CK69" s="411"/>
      <c r="CL69" s="411"/>
      <c r="CM69" s="411"/>
      <c r="CN69" s="411"/>
      <c r="CO69" s="411"/>
      <c r="CP69" s="411"/>
      <c r="CQ69" s="411"/>
      <c r="CR69" s="411"/>
      <c r="CS69" s="411"/>
    </row>
    <row r="70" spans="3:97" ht="15.75">
      <c r="C70" s="55" t="s">
        <v>43</v>
      </c>
      <c r="D70" s="16">
        <f>IF(D53*D43&lt;0,-TAN(RADIANS(SIGN(D43)*D43)),TAN(RADIANS(SIGN(D43)*D43)))</f>
        <v>0.006845242837568596</v>
      </c>
      <c r="E70" s="56"/>
      <c r="K70" s="386" t="s">
        <v>342</v>
      </c>
      <c r="L70" s="35" t="s">
        <v>317</v>
      </c>
      <c r="M70" s="386" t="s">
        <v>342</v>
      </c>
      <c r="N70" s="35" t="s">
        <v>339</v>
      </c>
      <c r="R70" s="55" t="s">
        <v>43</v>
      </c>
      <c r="S70" s="16">
        <f>IF(S53*S43&lt;0,-TAN(RADIANS(SIGN(S43)*S43)),TAN(RADIANS(SIGN(S43)*S43)))</f>
        <v>0.00649229457794246</v>
      </c>
      <c r="T70" s="56"/>
      <c r="Z70" s="386" t="s">
        <v>342</v>
      </c>
      <c r="AA70" s="35" t="s">
        <v>317</v>
      </c>
      <c r="AB70" s="386" t="s">
        <v>342</v>
      </c>
      <c r="AC70" s="35" t="s">
        <v>339</v>
      </c>
      <c r="AG70" s="55" t="s">
        <v>43</v>
      </c>
      <c r="AH70" s="16">
        <f>IF(AH53*AH43&lt;0,-TAN(RADIANS(SIGN(AH43)*AH43)),TAN(RADIANS(SIGN(AH43)*AH43)))</f>
        <v>0.006132554425681185</v>
      </c>
      <c r="AI70" s="56"/>
      <c r="AO70" s="386" t="s">
        <v>342</v>
      </c>
      <c r="AP70" s="35" t="s">
        <v>317</v>
      </c>
      <c r="AQ70" s="386" t="s">
        <v>342</v>
      </c>
      <c r="AR70" s="35" t="s">
        <v>339</v>
      </c>
      <c r="AV70" s="55" t="s">
        <v>43</v>
      </c>
      <c r="AW70" s="16">
        <f>IF(AW53*AW43&lt;0,-TAN(RADIANS(SIGN(AW43)*AW43)),TAN(RADIANS(SIGN(AW43)*AW43)))</f>
        <v>0.1878285608700277</v>
      </c>
      <c r="AX70" s="56"/>
      <c r="BD70" s="386" t="s">
        <v>342</v>
      </c>
      <c r="BE70" s="35" t="s">
        <v>317</v>
      </c>
      <c r="BF70" s="386" t="s">
        <v>342</v>
      </c>
      <c r="BG70" s="35" t="s">
        <v>339</v>
      </c>
      <c r="BW70" s="423"/>
      <c r="BX70" s="224"/>
      <c r="BY70" s="224"/>
      <c r="BZ70" s="224"/>
      <c r="CA70" s="224"/>
      <c r="CB70" s="431"/>
      <c r="CC70" s="431"/>
      <c r="CD70" s="431"/>
      <c r="CE70" s="431"/>
      <c r="CF70" s="431"/>
      <c r="CG70" s="424"/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1"/>
      <c r="CS70" s="411"/>
    </row>
    <row r="71" spans="3:97" ht="12.75">
      <c r="C71" s="62" t="s">
        <v>44</v>
      </c>
      <c r="D71" s="26">
        <f>TAN(RADIANS(SIGN(D53)*D53))</f>
        <v>0.42447481620960476</v>
      </c>
      <c r="E71" s="63"/>
      <c r="F71" s="79" t="s">
        <v>84</v>
      </c>
      <c r="K71" s="387">
        <f>HLOOKUP(K73,$P$99:$DG$100,1)</f>
        <v>65</v>
      </c>
      <c r="L71" s="388">
        <f>HLOOKUP(K73,$P$99:$DG$100,2)</f>
        <v>-0.43</v>
      </c>
      <c r="M71" s="387">
        <f>HLOOKUP(M73,$P$103:$U$104,1)</f>
        <v>60</v>
      </c>
      <c r="N71" s="388">
        <f>HLOOKUP(M73,$P$103:$U$104,2)</f>
        <v>0.07</v>
      </c>
      <c r="R71" s="62" t="s">
        <v>44</v>
      </c>
      <c r="S71" s="26">
        <f>TAN(RADIANS(SIGN(S53)*S53))</f>
        <v>0.42447481620960476</v>
      </c>
      <c r="T71" s="63"/>
      <c r="U71" s="79" t="s">
        <v>84</v>
      </c>
      <c r="Z71" s="387">
        <f>HLOOKUP(Z73,$P$99:$DG$100,1)</f>
        <v>60</v>
      </c>
      <c r="AA71" s="388">
        <f>HLOOKUP(Z73,$P$99:$DG$100,2)</f>
        <v>-0.55</v>
      </c>
      <c r="AB71" s="387">
        <f>HLOOKUP(AB73,$P$103:$U$104,1)</f>
        <v>60</v>
      </c>
      <c r="AC71" s="388">
        <f>HLOOKUP(AB73,$P$103:$U$104,2)</f>
        <v>0.07</v>
      </c>
      <c r="AG71" s="62" t="s">
        <v>44</v>
      </c>
      <c r="AH71" s="26">
        <f>TAN(RADIANS(SIGN(AH53)*AH53))</f>
        <v>0.42447481620960476</v>
      </c>
      <c r="AI71" s="63"/>
      <c r="AJ71" s="79" t="s">
        <v>84</v>
      </c>
      <c r="AO71" s="387">
        <f>HLOOKUP(AO73,$P$99:$DG$100,1)</f>
        <v>50</v>
      </c>
      <c r="AP71" s="388">
        <f>HLOOKUP(AO73,$P$99:$DG$100,2)</f>
        <v>-0.8</v>
      </c>
      <c r="AQ71" s="387">
        <f>HLOOKUP(AQ73,$P$103:$U$104,1)</f>
        <v>40</v>
      </c>
      <c r="AR71" s="388">
        <f>HLOOKUP(AQ73,$P$103:$U$104,2)</f>
        <v>0.12</v>
      </c>
      <c r="AV71" s="62" t="s">
        <v>44</v>
      </c>
      <c r="AW71" s="26">
        <f>TAN(RADIANS(SIGN(AW53)*AW53))</f>
        <v>0.5812353143115605</v>
      </c>
      <c r="AX71" s="63"/>
      <c r="AY71" s="79" t="s">
        <v>84</v>
      </c>
      <c r="BD71" s="387">
        <f>HLOOKUP(BD73,$P$99:$DG$100,1)</f>
        <v>50</v>
      </c>
      <c r="BE71" s="388">
        <f>HLOOKUP(BD73,$P$99:$DG$100,2)</f>
        <v>-0.8</v>
      </c>
      <c r="BF71" s="387">
        <f>HLOOKUP(BF73,$P$103:$U$104,1)</f>
        <v>40</v>
      </c>
      <c r="BG71" s="388">
        <f>HLOOKUP(BF73,$P$103:$U$104,2)</f>
        <v>0.12</v>
      </c>
      <c r="BW71" s="423"/>
      <c r="BX71" s="224"/>
      <c r="BY71" s="224"/>
      <c r="BZ71" s="224"/>
      <c r="CA71" s="224"/>
      <c r="CB71" s="224"/>
      <c r="CC71" s="224"/>
      <c r="CD71" s="224"/>
      <c r="CE71" s="224"/>
      <c r="CF71" s="224"/>
      <c r="CG71" s="424"/>
      <c r="CH71" s="411"/>
      <c r="CI71" s="411"/>
      <c r="CJ71" s="411"/>
      <c r="CK71" s="411"/>
      <c r="CL71" s="411"/>
      <c r="CM71" s="411"/>
      <c r="CN71" s="411"/>
      <c r="CO71" s="411"/>
      <c r="CP71" s="411"/>
      <c r="CQ71" s="411"/>
      <c r="CR71" s="411"/>
      <c r="CS71" s="411"/>
    </row>
    <row r="72" spans="3:97" ht="12.75">
      <c r="C72" s="62" t="s">
        <v>45</v>
      </c>
      <c r="D72" s="26">
        <f>COS(RADIANS(SIGN(D53)*D53))</f>
        <v>0.9205048534524404</v>
      </c>
      <c r="E72" s="64"/>
      <c r="K72" s="387">
        <f>INDEX($P$99:$DG$100,1,MATCH(K73,$P$99:$DG$99,1)+1)</f>
        <v>70</v>
      </c>
      <c r="L72" s="388">
        <f>INDEX($P$99:$DG$100,2,MATCH(K73,$P$99:$DG$99,1)+1)</f>
        <v>-0.33</v>
      </c>
      <c r="M72" s="387">
        <f>INDEX($P$103:$U$104,1,MATCH(M73,$P$103:$U$103,1)+1)</f>
        <v>80</v>
      </c>
      <c r="N72" s="388">
        <f>INDEX($P$103:$U$104,2,MATCH(M73,$P$103:$U$103,1)+1)</f>
        <v>0.03</v>
      </c>
      <c r="R72" s="62" t="s">
        <v>45</v>
      </c>
      <c r="S72" s="26">
        <f>COS(RADIANS(SIGN(S53)*S53))</f>
        <v>0.9205048534524404</v>
      </c>
      <c r="T72" s="64"/>
      <c r="Z72" s="387">
        <f>INDEX($P$99:$DG$100,1,MATCH(Z73,$P$99:$DG$99,1)+1)</f>
        <v>65</v>
      </c>
      <c r="AA72" s="388">
        <f>INDEX($P$99:$DG$100,2,MATCH(Z73,$P$99:$DG$99,1)+1)</f>
        <v>-0.43</v>
      </c>
      <c r="AB72" s="387">
        <f>INDEX($P$103:$U$104,1,MATCH(AB73,$P$103:$U$103,1)+1)</f>
        <v>80</v>
      </c>
      <c r="AC72" s="388">
        <f>INDEX($P$103:$U$104,2,MATCH(AB73,$P$103:$U$103,1)+1)</f>
        <v>0.03</v>
      </c>
      <c r="AG72" s="62" t="s">
        <v>45</v>
      </c>
      <c r="AH72" s="26">
        <f>COS(RADIANS(SIGN(AH53)*AH53))</f>
        <v>0.9205048534524404</v>
      </c>
      <c r="AI72" s="64"/>
      <c r="AO72" s="387">
        <f>INDEX($P$99:$DG$100,1,MATCH(AO73,$P$99:$DG$99,1)+1)</f>
        <v>55</v>
      </c>
      <c r="AP72" s="388">
        <f>INDEX($P$99:$DG$100,2,MATCH(AO73,$P$99:$DG$99,1)+1)</f>
        <v>-0.67</v>
      </c>
      <c r="AQ72" s="387">
        <f>INDEX($P$103:$U$104,1,MATCH(AQ73,$P$103:$U$103,1)+1)</f>
        <v>60</v>
      </c>
      <c r="AR72" s="388">
        <f>INDEX($P$103:$U$104,2,MATCH(AQ73,$P$103:$U$103,1)+1)</f>
        <v>0.07</v>
      </c>
      <c r="AV72" s="62" t="s">
        <v>45</v>
      </c>
      <c r="AW72" s="26">
        <f>COS(RADIANS(SIGN(AW53)*AW53))</f>
        <v>0.8645673008167306</v>
      </c>
      <c r="AX72" s="64"/>
      <c r="BD72" s="387">
        <f>INDEX($P$99:$DG$100,1,MATCH(BD73,$P$99:$DG$99,1)+1)</f>
        <v>55</v>
      </c>
      <c r="BE72" s="388">
        <f>INDEX($P$99:$DG$100,2,MATCH(BD73,$P$99:$DG$99,1)+1)</f>
        <v>-0.67</v>
      </c>
      <c r="BF72" s="387">
        <f>INDEX($P$103:$U$104,1,MATCH(BF73,$P$103:$U$103,1)+1)</f>
        <v>60</v>
      </c>
      <c r="BG72" s="388">
        <f>INDEX($P$103:$U$104,2,MATCH(BF73,$P$103:$U$103,1)+1)</f>
        <v>0.07</v>
      </c>
      <c r="BW72" s="423"/>
      <c r="BX72" s="224"/>
      <c r="BY72" s="224"/>
      <c r="BZ72" s="224"/>
      <c r="CA72" s="224"/>
      <c r="CB72" s="224"/>
      <c r="CC72" s="224"/>
      <c r="CD72" s="224"/>
      <c r="CE72" s="224"/>
      <c r="CF72" s="224"/>
      <c r="CG72" s="424"/>
      <c r="CH72" s="411"/>
      <c r="CI72" s="411"/>
      <c r="CJ72" s="411"/>
      <c r="CK72" s="411"/>
      <c r="CL72" s="411"/>
      <c r="CM72" s="411"/>
      <c r="CN72" s="411"/>
      <c r="CO72" s="411"/>
      <c r="CP72" s="411"/>
      <c r="CQ72" s="411"/>
      <c r="CR72" s="411"/>
      <c r="CS72" s="411"/>
    </row>
    <row r="73" spans="3:97" ht="13.5" thickBot="1">
      <c r="C73" s="65" t="s">
        <v>42</v>
      </c>
      <c r="D73" s="66">
        <f>DEGREES(ATAN(SIN(RADIANS(D38))/((D70-D71*COS(RADIANS(D38)))*D72)))</f>
        <v>-12.194849717806132</v>
      </c>
      <c r="E73" s="67"/>
      <c r="K73" s="389">
        <f>H27+I27/60</f>
        <v>66.82</v>
      </c>
      <c r="L73" s="390">
        <f>ROUND(L71+(L72-L71)/(K72-K71)*(K73-K71),1)</f>
        <v>-0.4</v>
      </c>
      <c r="M73" s="389">
        <f>H27+I27/60</f>
        <v>66.82</v>
      </c>
      <c r="N73" s="390">
        <f>ROUND(N71+(N72-N71)/(M72-M71)*(M73-M71),1)</f>
        <v>0.1</v>
      </c>
      <c r="R73" s="65" t="s">
        <v>42</v>
      </c>
      <c r="S73" s="66">
        <f>DEGREES(ATAN(SIN(RADIANS(S38))/((S70-S71*COS(RADIANS(S38)))*S72)))</f>
        <v>-32.90890797424311</v>
      </c>
      <c r="T73" s="67"/>
      <c r="Z73" s="389">
        <f>W27+X27/60</f>
        <v>63.48</v>
      </c>
      <c r="AA73" s="390">
        <f>ROUND(AA71+(AA72-AA71)/(Z72-Z71)*(Z73-Z71),1)</f>
        <v>-0.5</v>
      </c>
      <c r="AB73" s="389">
        <f>W27+X27/60</f>
        <v>63.48</v>
      </c>
      <c r="AC73" s="390">
        <f>ROUND(AC71+(AC72-AC71)/(AB72-AB71)*(AB73-AB71),1)</f>
        <v>0.1</v>
      </c>
      <c r="AG73" s="65" t="s">
        <v>42</v>
      </c>
      <c r="AH73" s="66">
        <f>DEGREES(ATAN(SIN(RADIANS(AH38))/((AH70-AH71*COS(RADIANS(AH38)))*AH72)))</f>
        <v>-59.2833458868285</v>
      </c>
      <c r="AI73" s="67"/>
      <c r="AO73" s="389">
        <f>AL27+AM27/60</f>
        <v>50.79</v>
      </c>
      <c r="AP73" s="390">
        <f>ROUND(AP71+(AP72-AP71)/(AO72-AO71)*(AO73-AO71),1)</f>
        <v>-0.8</v>
      </c>
      <c r="AQ73" s="389">
        <f>AL27+AM27/60</f>
        <v>50.79</v>
      </c>
      <c r="AR73" s="390">
        <f>ROUND(AR71+(AR72-AR71)/(AQ72-AQ71)*(AQ73-AQ71),1)</f>
        <v>0.1</v>
      </c>
      <c r="AV73" s="65" t="s">
        <v>42</v>
      </c>
      <c r="AW73" s="66">
        <f>DEGREES(ATAN(SIN(RADIANS(AW38))/((AW70-AW71*COS(RADIANS(AW38)))*AW72)))</f>
        <v>-49.31302805027583</v>
      </c>
      <c r="AX73" s="67"/>
      <c r="BD73" s="389">
        <f>BA27+BB27/60</f>
        <v>50.79</v>
      </c>
      <c r="BE73" s="390">
        <f>ROUND(BE71+(BE72-BE71)/(BD72-BD71)*(BD73-BD71),1)</f>
        <v>-0.8</v>
      </c>
      <c r="BF73" s="389">
        <f>BA27+BB27/60</f>
        <v>50.79</v>
      </c>
      <c r="BG73" s="390">
        <f>ROUND(BG71+(BG72-BG71)/(BF72-BF71)*(BF73-BF71),1)</f>
        <v>0.1</v>
      </c>
      <c r="BW73" s="423"/>
      <c r="BX73" s="224"/>
      <c r="BY73" s="224"/>
      <c r="BZ73" s="224"/>
      <c r="CA73" s="224"/>
      <c r="CB73" s="224"/>
      <c r="CC73" s="224"/>
      <c r="CD73" s="224"/>
      <c r="CE73" s="224"/>
      <c r="CF73" s="224"/>
      <c r="CG73" s="424"/>
      <c r="CH73" s="411"/>
      <c r="CI73" s="411"/>
      <c r="CJ73" s="411"/>
      <c r="CK73" s="411"/>
      <c r="CL73" s="411"/>
      <c r="CM73" s="411"/>
      <c r="CN73" s="411"/>
      <c r="CO73" s="411"/>
      <c r="CP73" s="411"/>
      <c r="CQ73" s="411"/>
      <c r="CR73" s="411"/>
      <c r="CS73" s="411"/>
    </row>
    <row r="74" spans="75:97" ht="12.75">
      <c r="BW74" s="423"/>
      <c r="BX74" s="224"/>
      <c r="BY74" s="224"/>
      <c r="BZ74" s="224"/>
      <c r="CA74" s="224"/>
      <c r="CB74" s="224"/>
      <c r="CC74" s="224"/>
      <c r="CD74" s="224"/>
      <c r="CE74" s="224"/>
      <c r="CF74" s="224"/>
      <c r="CG74" s="424"/>
      <c r="CH74" s="411"/>
      <c r="CI74" s="411"/>
      <c r="CJ74" s="411"/>
      <c r="CK74" s="411"/>
      <c r="CL74" s="411"/>
      <c r="CM74" s="411"/>
      <c r="CN74" s="411"/>
      <c r="CO74" s="411"/>
      <c r="CP74" s="411"/>
      <c r="CQ74" s="411"/>
      <c r="CR74" s="411"/>
      <c r="CS74" s="411"/>
    </row>
    <row r="75" spans="1:97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W75" s="423"/>
      <c r="BX75" s="224"/>
      <c r="BY75" s="224"/>
      <c r="BZ75" s="224"/>
      <c r="CA75" s="224"/>
      <c r="CB75" s="224"/>
      <c r="CC75" s="224"/>
      <c r="CD75" s="224"/>
      <c r="CE75" s="224"/>
      <c r="CF75" s="224"/>
      <c r="CG75" s="424"/>
      <c r="CH75" s="411"/>
      <c r="CI75" s="411"/>
      <c r="CJ75" s="411"/>
      <c r="CK75" s="411"/>
      <c r="CL75" s="411"/>
      <c r="CM75" s="411"/>
      <c r="CN75" s="411"/>
      <c r="CO75" s="411"/>
      <c r="CP75" s="411"/>
      <c r="CQ75" s="411"/>
      <c r="CR75" s="411"/>
      <c r="CS75" s="411"/>
    </row>
    <row r="76" spans="74:97" ht="12.75">
      <c r="BV76" s="411"/>
      <c r="BW76" s="423"/>
      <c r="BX76" s="224"/>
      <c r="BY76" s="224"/>
      <c r="BZ76" s="224"/>
      <c r="CA76" s="224"/>
      <c r="CB76" s="224"/>
      <c r="CC76" s="224"/>
      <c r="CD76" s="224"/>
      <c r="CE76" s="224"/>
      <c r="CF76" s="224"/>
      <c r="CG76" s="424"/>
      <c r="CH76" s="411"/>
      <c r="CI76" s="411"/>
      <c r="CJ76" s="411"/>
      <c r="CK76" s="411"/>
      <c r="CL76" s="411"/>
      <c r="CM76" s="411"/>
      <c r="CN76" s="411"/>
      <c r="CO76" s="411"/>
      <c r="CP76" s="411"/>
      <c r="CQ76" s="411"/>
      <c r="CR76" s="411"/>
      <c r="CS76" s="411"/>
    </row>
    <row r="77" spans="75:97" ht="13.5" thickBot="1">
      <c r="BW77" s="423"/>
      <c r="BX77" s="224"/>
      <c r="BY77" s="224"/>
      <c r="BZ77" s="224"/>
      <c r="CA77" s="224"/>
      <c r="CB77" s="224"/>
      <c r="CC77" s="224"/>
      <c r="CD77" s="224"/>
      <c r="CE77" s="224"/>
      <c r="CF77" s="224"/>
      <c r="CG77" s="424"/>
      <c r="CH77" s="411"/>
      <c r="CI77" s="411"/>
      <c r="CJ77" s="411"/>
      <c r="CK77" s="411"/>
      <c r="CL77" s="411"/>
      <c r="CM77" s="411"/>
      <c r="CN77" s="411"/>
      <c r="CO77" s="411"/>
      <c r="CP77" s="411"/>
      <c r="CQ77" s="411"/>
      <c r="CR77" s="411"/>
      <c r="CS77" s="411"/>
    </row>
    <row r="78" spans="2:86" ht="12.75">
      <c r="B78" s="32" t="s">
        <v>14</v>
      </c>
      <c r="C78" s="33"/>
      <c r="D78" s="34" t="s">
        <v>12</v>
      </c>
      <c r="E78" s="34" t="s">
        <v>13</v>
      </c>
      <c r="F78" s="34" t="s">
        <v>12</v>
      </c>
      <c r="G78" s="34" t="s">
        <v>13</v>
      </c>
      <c r="H78" s="34" t="s">
        <v>12</v>
      </c>
      <c r="I78" s="34" t="s">
        <v>13</v>
      </c>
      <c r="J78" s="34" t="s">
        <v>12</v>
      </c>
      <c r="K78" s="34" t="s">
        <v>13</v>
      </c>
      <c r="L78" s="34" t="s">
        <v>12</v>
      </c>
      <c r="M78" s="34" t="s">
        <v>13</v>
      </c>
      <c r="N78" s="34" t="s">
        <v>12</v>
      </c>
      <c r="O78" s="34" t="s">
        <v>13</v>
      </c>
      <c r="P78" s="34" t="s">
        <v>12</v>
      </c>
      <c r="Q78" s="34" t="s">
        <v>13</v>
      </c>
      <c r="R78" s="34" t="s">
        <v>12</v>
      </c>
      <c r="S78" s="34" t="s">
        <v>13</v>
      </c>
      <c r="T78" s="34" t="s">
        <v>12</v>
      </c>
      <c r="U78" s="34" t="s">
        <v>13</v>
      </c>
      <c r="V78" s="34" t="s">
        <v>12</v>
      </c>
      <c r="W78" s="34" t="s">
        <v>13</v>
      </c>
      <c r="X78" s="34" t="s">
        <v>12</v>
      </c>
      <c r="Y78" s="34" t="s">
        <v>13</v>
      </c>
      <c r="Z78" s="34" t="s">
        <v>12</v>
      </c>
      <c r="AA78" s="35" t="s">
        <v>13</v>
      </c>
      <c r="BW78" s="423"/>
      <c r="BX78" s="224"/>
      <c r="BY78" s="224"/>
      <c r="BZ78" s="224"/>
      <c r="CA78" s="224"/>
      <c r="CB78" s="224"/>
      <c r="CC78" s="224"/>
      <c r="CD78" s="224"/>
      <c r="CE78" s="224"/>
      <c r="CF78" s="224"/>
      <c r="CG78" s="424"/>
      <c r="CH78" s="411"/>
    </row>
    <row r="79" spans="2:85" ht="13.5" thickBot="1">
      <c r="B79" s="45" t="s">
        <v>35</v>
      </c>
      <c r="C79" s="46" t="s">
        <v>36</v>
      </c>
      <c r="D79" s="47" t="s">
        <v>15</v>
      </c>
      <c r="E79" s="48"/>
      <c r="F79" s="47" t="s">
        <v>18</v>
      </c>
      <c r="G79" s="48"/>
      <c r="H79" s="47" t="s">
        <v>17</v>
      </c>
      <c r="I79" s="48"/>
      <c r="J79" s="47" t="s">
        <v>16</v>
      </c>
      <c r="K79" s="48"/>
      <c r="L79" s="47" t="s">
        <v>19</v>
      </c>
      <c r="M79" s="48"/>
      <c r="N79" s="47" t="s">
        <v>20</v>
      </c>
      <c r="O79" s="48"/>
      <c r="P79" s="47" t="s">
        <v>21</v>
      </c>
      <c r="Q79" s="48"/>
      <c r="R79" s="47" t="s">
        <v>22</v>
      </c>
      <c r="S79" s="48"/>
      <c r="T79" s="47" t="s">
        <v>23</v>
      </c>
      <c r="U79" s="48"/>
      <c r="V79" s="47" t="s">
        <v>24</v>
      </c>
      <c r="W79" s="48"/>
      <c r="X79" s="47" t="s">
        <v>25</v>
      </c>
      <c r="Y79" s="48"/>
      <c r="Z79" s="47" t="s">
        <v>26</v>
      </c>
      <c r="AA79" s="49"/>
      <c r="BW79" s="423"/>
      <c r="BX79" s="224"/>
      <c r="BY79" s="224"/>
      <c r="BZ79" s="224"/>
      <c r="CA79" s="224"/>
      <c r="CB79" s="430" t="s">
        <v>349</v>
      </c>
      <c r="CC79" s="430"/>
      <c r="CD79" s="430" t="str">
        <f>IF(G11&lt;&gt;"",H11,IF(G12&lt;&gt;"",H12,H13))</f>
        <v>2 officer  _____________ N. Makhaev</v>
      </c>
      <c r="CE79" s="431"/>
      <c r="CF79" s="431"/>
      <c r="CG79" s="424"/>
    </row>
    <row r="80" spans="2:85" ht="12.75">
      <c r="B80" s="43" t="s">
        <v>11</v>
      </c>
      <c r="C80" s="29">
        <v>1</v>
      </c>
      <c r="D80" s="30">
        <v>79.698</v>
      </c>
      <c r="E80" s="30">
        <v>-1.105</v>
      </c>
      <c r="F80" s="29" t="s">
        <v>10</v>
      </c>
      <c r="G80" s="29" t="s">
        <v>10</v>
      </c>
      <c r="H80" s="29" t="s">
        <v>10</v>
      </c>
      <c r="I80" s="29" t="s">
        <v>10</v>
      </c>
      <c r="J80" s="29" t="s">
        <v>10</v>
      </c>
      <c r="K80" s="29" t="s">
        <v>10</v>
      </c>
      <c r="L80" s="29" t="s">
        <v>10</v>
      </c>
      <c r="M80" s="29" t="s">
        <v>10</v>
      </c>
      <c r="N80" s="29" t="s">
        <v>10</v>
      </c>
      <c r="O80" s="29" t="s">
        <v>10</v>
      </c>
      <c r="P80" s="29" t="s">
        <v>10</v>
      </c>
      <c r="Q80" s="29" t="s">
        <v>10</v>
      </c>
      <c r="R80" s="29" t="s">
        <v>10</v>
      </c>
      <c r="S80" s="29" t="s">
        <v>10</v>
      </c>
      <c r="T80" s="29" t="s">
        <v>10</v>
      </c>
      <c r="U80" s="29" t="s">
        <v>10</v>
      </c>
      <c r="V80" s="29" t="s">
        <v>10</v>
      </c>
      <c r="W80" s="29" t="s">
        <v>10</v>
      </c>
      <c r="X80" s="29" t="s">
        <v>10</v>
      </c>
      <c r="Y80" s="29" t="s">
        <v>10</v>
      </c>
      <c r="Z80" s="29" t="s">
        <v>10</v>
      </c>
      <c r="AA80" s="44" t="s">
        <v>10</v>
      </c>
      <c r="BW80" s="428"/>
      <c r="BX80" s="427"/>
      <c r="BY80" s="427"/>
      <c r="BZ80" s="427"/>
      <c r="CA80" s="427"/>
      <c r="CB80" s="427"/>
      <c r="CC80" s="427"/>
      <c r="CD80" s="427"/>
      <c r="CE80" s="427"/>
      <c r="CF80" s="427"/>
      <c r="CG80" s="429"/>
    </row>
    <row r="81" spans="2:27" ht="12.75">
      <c r="B81" s="36">
        <v>1</v>
      </c>
      <c r="C81" s="29">
        <v>2</v>
      </c>
      <c r="D81" s="30">
        <v>78.593</v>
      </c>
      <c r="E81" s="30">
        <v>-1.102</v>
      </c>
      <c r="F81" s="30">
        <v>45.495</v>
      </c>
      <c r="G81" s="31">
        <v>-1.016</v>
      </c>
      <c r="H81" s="30">
        <v>18.17</v>
      </c>
      <c r="I81" s="30">
        <v>-0.934</v>
      </c>
      <c r="J81" s="30">
        <v>349.727</v>
      </c>
      <c r="K81" s="30">
        <v>-0.912</v>
      </c>
      <c r="L81" s="30">
        <v>321.887</v>
      </c>
      <c r="M81" s="30">
        <v>-0.958</v>
      </c>
      <c r="N81" s="30">
        <v>291.197</v>
      </c>
      <c r="O81" s="30">
        <v>-1.026</v>
      </c>
      <c r="P81" s="30">
        <v>260.1283</v>
      </c>
      <c r="Q81" s="30">
        <v>-1.033</v>
      </c>
      <c r="R81" s="30">
        <v>228.915</v>
      </c>
      <c r="S81" s="30">
        <v>-0.968</v>
      </c>
      <c r="T81" s="31">
        <v>199.902</v>
      </c>
      <c r="U81" s="30">
        <v>-0.906</v>
      </c>
      <c r="V81" s="31">
        <v>172.905</v>
      </c>
      <c r="W81" s="30">
        <v>-0.907</v>
      </c>
      <c r="X81" s="30">
        <v>143.898</v>
      </c>
      <c r="Y81" s="30">
        <v>-0.983</v>
      </c>
      <c r="Z81" s="30">
        <v>113.167</v>
      </c>
      <c r="AA81" s="37">
        <v>-1.083</v>
      </c>
    </row>
    <row r="82" spans="2:27" ht="12.75">
      <c r="B82" s="36">
        <f>B81+3</f>
        <v>4</v>
      </c>
      <c r="C82" s="29">
        <f>C81+3</f>
        <v>5</v>
      </c>
      <c r="D82" s="30">
        <v>75.285</v>
      </c>
      <c r="E82" s="30">
        <v>-1.097</v>
      </c>
      <c r="F82" s="30">
        <v>42.448</v>
      </c>
      <c r="G82" s="31">
        <v>-1.006</v>
      </c>
      <c r="H82" s="30">
        <v>15.367</v>
      </c>
      <c r="I82" s="30">
        <v>-0.93</v>
      </c>
      <c r="J82" s="30">
        <v>346.992</v>
      </c>
      <c r="K82" s="30">
        <v>-0.914</v>
      </c>
      <c r="L82" s="30">
        <v>319.012</v>
      </c>
      <c r="M82" s="30">
        <v>-0.964</v>
      </c>
      <c r="N82" s="30">
        <v>288.118</v>
      </c>
      <c r="O82" s="30">
        <v>-1.029</v>
      </c>
      <c r="P82" s="30">
        <v>257.028</v>
      </c>
      <c r="Q82" s="30">
        <v>-1.029</v>
      </c>
      <c r="R82" s="30">
        <v>226.012</v>
      </c>
      <c r="S82" s="30">
        <v>-0.961</v>
      </c>
      <c r="T82" s="31">
        <v>197.183</v>
      </c>
      <c r="U82" s="30">
        <v>-0.902</v>
      </c>
      <c r="V82" s="31">
        <v>170.185</v>
      </c>
      <c r="W82" s="30">
        <v>-0.911</v>
      </c>
      <c r="X82" s="30">
        <v>140.95</v>
      </c>
      <c r="Y82" s="30">
        <v>-0.993</v>
      </c>
      <c r="Z82" s="30">
        <v>109.768</v>
      </c>
      <c r="AA82" s="37">
        <v>-1.089</v>
      </c>
    </row>
    <row r="83" spans="2:27" ht="12.75">
      <c r="B83" s="36">
        <f aca="true" t="shared" si="1" ref="B83:B89">B82+3</f>
        <v>7</v>
      </c>
      <c r="C83" s="29">
        <f aca="true" t="shared" si="2" ref="C83:C90">C82+3</f>
        <v>8</v>
      </c>
      <c r="D83" s="30">
        <v>79.993</v>
      </c>
      <c r="E83" s="30">
        <v>-1.091</v>
      </c>
      <c r="F83" s="30">
        <v>39.432</v>
      </c>
      <c r="G83" s="31">
        <v>-0.995</v>
      </c>
      <c r="H83" s="30">
        <v>12.577</v>
      </c>
      <c r="I83" s="30">
        <v>-0.924</v>
      </c>
      <c r="J83" s="30">
        <v>344.25</v>
      </c>
      <c r="K83" s="30">
        <v>-0.917</v>
      </c>
      <c r="L83" s="30">
        <v>316.1183</v>
      </c>
      <c r="M83" s="30">
        <v>-0.972</v>
      </c>
      <c r="N83" s="30">
        <v>285.03</v>
      </c>
      <c r="O83" s="30">
        <v>-1.034</v>
      </c>
      <c r="P83" s="30">
        <v>253.942</v>
      </c>
      <c r="Q83" s="30">
        <v>-1.024</v>
      </c>
      <c r="R83" s="30">
        <v>223.13</v>
      </c>
      <c r="S83" s="30">
        <v>-0.952</v>
      </c>
      <c r="T83" s="31">
        <v>194.477</v>
      </c>
      <c r="U83" s="30">
        <v>-0.9</v>
      </c>
      <c r="V83" s="31">
        <v>167.452</v>
      </c>
      <c r="W83" s="30">
        <v>-0.916</v>
      </c>
      <c r="X83" s="30">
        <v>137.727</v>
      </c>
      <c r="Y83" s="30">
        <v>-1</v>
      </c>
      <c r="Z83" s="30">
        <v>106.502</v>
      </c>
      <c r="AA83" s="37">
        <v>-1.096</v>
      </c>
    </row>
    <row r="84" spans="2:27" ht="12.75">
      <c r="B84" s="36">
        <f t="shared" si="1"/>
        <v>10</v>
      </c>
      <c r="C84" s="29">
        <f t="shared" si="2"/>
        <v>11</v>
      </c>
      <c r="D84" s="30">
        <v>68.72</v>
      </c>
      <c r="E84" s="30">
        <v>-1.084</v>
      </c>
      <c r="F84" s="30">
        <v>36.447</v>
      </c>
      <c r="G84" s="31">
        <v>-0.985</v>
      </c>
      <c r="H84" s="30">
        <v>9.805</v>
      </c>
      <c r="I84" s="30">
        <v>-0.92</v>
      </c>
      <c r="J84" s="30">
        <v>341.5</v>
      </c>
      <c r="K84" s="30">
        <v>-0.92</v>
      </c>
      <c r="L84" s="30">
        <v>313.202</v>
      </c>
      <c r="M84" s="30">
        <v>-0.978</v>
      </c>
      <c r="N84" s="30">
        <v>281.928</v>
      </c>
      <c r="O84" s="30">
        <v>-1.036</v>
      </c>
      <c r="P84" s="30">
        <v>250.87</v>
      </c>
      <c r="Q84" s="30">
        <v>-1.019</v>
      </c>
      <c r="R84" s="30">
        <v>220.273</v>
      </c>
      <c r="S84" s="30">
        <v>-0.946</v>
      </c>
      <c r="T84" s="31">
        <v>191.777</v>
      </c>
      <c r="U84" s="30">
        <v>-0.897</v>
      </c>
      <c r="V84" s="31">
        <v>164.705</v>
      </c>
      <c r="W84" s="30">
        <v>-0.921</v>
      </c>
      <c r="X84" s="30">
        <v>134.96</v>
      </c>
      <c r="Y84" s="30">
        <v>-1.013</v>
      </c>
      <c r="Z84" s="30">
        <v>103.215</v>
      </c>
      <c r="AA84" s="37">
        <v>-1.1</v>
      </c>
    </row>
    <row r="85" spans="2:27" ht="12.75">
      <c r="B85" s="36">
        <f t="shared" si="1"/>
        <v>13</v>
      </c>
      <c r="C85" s="29">
        <f t="shared" si="2"/>
        <v>14</v>
      </c>
      <c r="D85" s="30">
        <v>65.468</v>
      </c>
      <c r="E85" s="30">
        <v>-1.076</v>
      </c>
      <c r="F85" s="30">
        <v>33.492</v>
      </c>
      <c r="G85" s="31">
        <v>-0.976</v>
      </c>
      <c r="H85" s="30">
        <v>7.047</v>
      </c>
      <c r="I85" s="30">
        <v>-0.916</v>
      </c>
      <c r="J85" s="30">
        <v>338.74</v>
      </c>
      <c r="K85" s="30">
        <v>-0.923</v>
      </c>
      <c r="L85" s="30">
        <v>310.267</v>
      </c>
      <c r="M85" s="30">
        <v>-0.986</v>
      </c>
      <c r="N85" s="30">
        <v>278.82</v>
      </c>
      <c r="O85" s="30">
        <v>-1.038</v>
      </c>
      <c r="P85" s="30">
        <v>247.813</v>
      </c>
      <c r="Q85" s="30">
        <v>-1.013</v>
      </c>
      <c r="R85" s="30">
        <v>217.437</v>
      </c>
      <c r="S85" s="30">
        <v>-0.938</v>
      </c>
      <c r="T85" s="31">
        <v>189.085</v>
      </c>
      <c r="U85" s="30">
        <v>-0.897</v>
      </c>
      <c r="V85" s="31">
        <v>161.942</v>
      </c>
      <c r="W85" s="30">
        <v>-0.928</v>
      </c>
      <c r="X85" s="30">
        <v>131.92</v>
      </c>
      <c r="Y85" s="30">
        <v>-1.025</v>
      </c>
      <c r="Z85" s="30">
        <v>99.915</v>
      </c>
      <c r="AA85" s="37">
        <v>-1.105</v>
      </c>
    </row>
    <row r="86" spans="2:27" ht="12.75">
      <c r="B86" s="36">
        <f t="shared" si="1"/>
        <v>16</v>
      </c>
      <c r="C86" s="29">
        <f t="shared" si="2"/>
        <v>17</v>
      </c>
      <c r="D86" s="30">
        <v>62.24</v>
      </c>
      <c r="E86" s="30">
        <v>-1.067</v>
      </c>
      <c r="F86" s="30">
        <v>30.565</v>
      </c>
      <c r="G86" s="31">
        <v>-0.967</v>
      </c>
      <c r="H86" s="30">
        <v>4.298</v>
      </c>
      <c r="I86" s="30">
        <v>-0.913</v>
      </c>
      <c r="J86" s="30">
        <v>335.97</v>
      </c>
      <c r="K86" s="30">
        <v>-0.927</v>
      </c>
      <c r="L86" s="30">
        <v>307.31</v>
      </c>
      <c r="M86" s="30">
        <v>-0.993</v>
      </c>
      <c r="N86" s="30">
        <v>275.707</v>
      </c>
      <c r="O86" s="30">
        <v>-1.04</v>
      </c>
      <c r="P86" s="30">
        <v>244.775</v>
      </c>
      <c r="Q86" s="30">
        <v>-1.006</v>
      </c>
      <c r="R86" s="30">
        <v>214.622</v>
      </c>
      <c r="S86" s="30">
        <v>-0.932</v>
      </c>
      <c r="T86" s="31">
        <v>186.395</v>
      </c>
      <c r="U86" s="30">
        <v>-0.897</v>
      </c>
      <c r="V86" s="31">
        <v>159.157</v>
      </c>
      <c r="W86" s="30">
        <v>-0.935</v>
      </c>
      <c r="X86" s="30">
        <v>128.845</v>
      </c>
      <c r="Y86" s="30">
        <v>-1.036</v>
      </c>
      <c r="Z86" s="30">
        <v>96.6</v>
      </c>
      <c r="AA86" s="37">
        <v>-1.108</v>
      </c>
    </row>
    <row r="87" spans="2:27" ht="12.75">
      <c r="B87" s="36">
        <f t="shared" si="1"/>
        <v>19</v>
      </c>
      <c r="C87" s="29">
        <f t="shared" si="2"/>
        <v>20</v>
      </c>
      <c r="D87" s="30">
        <v>59.04</v>
      </c>
      <c r="E87" s="30">
        <v>-1.058</v>
      </c>
      <c r="F87" s="30">
        <v>27.665</v>
      </c>
      <c r="G87" s="31">
        <v>-0.958</v>
      </c>
      <c r="H87" s="30">
        <v>1.558</v>
      </c>
      <c r="I87" s="30">
        <v>-0.91</v>
      </c>
      <c r="J87" s="30">
        <v>333.188</v>
      </c>
      <c r="K87" s="30">
        <v>-0.933</v>
      </c>
      <c r="L87" s="30">
        <v>304.33</v>
      </c>
      <c r="M87" s="30">
        <v>-0.999</v>
      </c>
      <c r="N87" s="30">
        <v>272.588</v>
      </c>
      <c r="O87" s="30">
        <v>-1.04</v>
      </c>
      <c r="P87" s="30">
        <v>241.757</v>
      </c>
      <c r="Q87" s="30">
        <v>-0.995</v>
      </c>
      <c r="R87" s="30">
        <v>211.827</v>
      </c>
      <c r="S87" s="30">
        <v>-0.926</v>
      </c>
      <c r="T87" s="31">
        <v>183.705</v>
      </c>
      <c r="U87" s="30">
        <v>-0.897</v>
      </c>
      <c r="V87" s="31">
        <v>156.352</v>
      </c>
      <c r="W87" s="30">
        <v>-0.943</v>
      </c>
      <c r="X87" s="30">
        <v>125.738</v>
      </c>
      <c r="Y87" s="30">
        <v>-1.046</v>
      </c>
      <c r="Z87" s="30">
        <v>93.275</v>
      </c>
      <c r="AA87" s="37">
        <v>-1.109</v>
      </c>
    </row>
    <row r="88" spans="2:27" ht="12.75">
      <c r="B88" s="36">
        <f t="shared" si="1"/>
        <v>22</v>
      </c>
      <c r="C88" s="29">
        <f t="shared" si="2"/>
        <v>23</v>
      </c>
      <c r="D88" s="30">
        <v>55.865</v>
      </c>
      <c r="E88" s="30">
        <v>-1.048</v>
      </c>
      <c r="F88" s="30">
        <v>24.79</v>
      </c>
      <c r="G88" s="31">
        <v>-0.953</v>
      </c>
      <c r="H88" s="30">
        <v>358.827</v>
      </c>
      <c r="I88" s="30">
        <v>-0.91</v>
      </c>
      <c r="J88" s="30">
        <v>330.39</v>
      </c>
      <c r="K88" s="30">
        <v>-0.938</v>
      </c>
      <c r="L88" s="30">
        <v>301.332</v>
      </c>
      <c r="M88" s="30">
        <v>-1.006</v>
      </c>
      <c r="N88" s="30">
        <v>269.468</v>
      </c>
      <c r="O88" s="30">
        <v>-1.039</v>
      </c>
      <c r="P88" s="30">
        <v>238.758</v>
      </c>
      <c r="Q88" s="30">
        <v>-0.993</v>
      </c>
      <c r="R88" s="30">
        <v>209.048</v>
      </c>
      <c r="S88" s="30">
        <v>-0.92</v>
      </c>
      <c r="T88" s="31">
        <v>181.015</v>
      </c>
      <c r="U88" s="30">
        <v>-0.899</v>
      </c>
      <c r="V88" s="31">
        <v>153.522</v>
      </c>
      <c r="W88" s="30">
        <v>-0.951</v>
      </c>
      <c r="X88" s="30">
        <v>122.602</v>
      </c>
      <c r="Y88" s="30">
        <v>-1.056</v>
      </c>
      <c r="Z88" s="30">
        <v>89.947</v>
      </c>
      <c r="AA88" s="37">
        <v>-1.111</v>
      </c>
    </row>
    <row r="89" spans="2:27" ht="12.75">
      <c r="B89" s="36">
        <f t="shared" si="1"/>
        <v>25</v>
      </c>
      <c r="C89" s="29">
        <f t="shared" si="2"/>
        <v>26</v>
      </c>
      <c r="D89" s="30">
        <v>52.72</v>
      </c>
      <c r="E89" s="30">
        <v>-1.039</v>
      </c>
      <c r="F89" s="30">
        <v>21.938</v>
      </c>
      <c r="G89" s="31">
        <v>-0.943</v>
      </c>
      <c r="H89" s="30">
        <v>356.097</v>
      </c>
      <c r="I89" s="30">
        <v>-0.91</v>
      </c>
      <c r="J89" s="30">
        <v>327.575</v>
      </c>
      <c r="K89" s="30">
        <v>-0.944</v>
      </c>
      <c r="L89" s="30">
        <v>298.313</v>
      </c>
      <c r="M89" s="30">
        <v>-1.013</v>
      </c>
      <c r="N89" s="30">
        <v>266.352</v>
      </c>
      <c r="O89" s="30">
        <v>-1.038</v>
      </c>
      <c r="P89" s="30">
        <v>235.78</v>
      </c>
      <c r="Q89" s="30">
        <v>-0.986</v>
      </c>
      <c r="R89" s="30">
        <v>206.287</v>
      </c>
      <c r="S89" s="30">
        <v>-0.915</v>
      </c>
      <c r="T89" s="31">
        <v>178.317</v>
      </c>
      <c r="U89" s="30">
        <v>-0.901</v>
      </c>
      <c r="V89" s="31">
        <v>150.668</v>
      </c>
      <c r="W89" s="30">
        <v>-0.96</v>
      </c>
      <c r="X89" s="30">
        <v>119.435</v>
      </c>
      <c r="Y89" s="30">
        <v>-1.066</v>
      </c>
      <c r="Z89" s="30">
        <v>86.615</v>
      </c>
      <c r="AA89" s="37">
        <v>-1.109</v>
      </c>
    </row>
    <row r="90" spans="2:27" ht="13.5" thickBot="1">
      <c r="B90" s="38">
        <f>B89+3</f>
        <v>28</v>
      </c>
      <c r="C90" s="39">
        <f t="shared" si="2"/>
        <v>29</v>
      </c>
      <c r="D90" s="40">
        <v>49.603</v>
      </c>
      <c r="E90" s="40">
        <v>-1.027</v>
      </c>
      <c r="F90" s="40">
        <v>19.108</v>
      </c>
      <c r="G90" s="41">
        <v>-0.938</v>
      </c>
      <c r="H90" s="40">
        <v>353.367</v>
      </c>
      <c r="I90" s="40">
        <v>-0.91</v>
      </c>
      <c r="J90" s="40">
        <v>324.742</v>
      </c>
      <c r="K90" s="40">
        <v>-0.952</v>
      </c>
      <c r="L90" s="40">
        <v>295.275</v>
      </c>
      <c r="M90" s="40">
        <v>-1.02</v>
      </c>
      <c r="N90" s="40">
        <v>263.237</v>
      </c>
      <c r="O90" s="40">
        <v>-1.036</v>
      </c>
      <c r="P90" s="40">
        <v>232.823</v>
      </c>
      <c r="Q90" s="40">
        <v>-0.977</v>
      </c>
      <c r="R90" s="40">
        <v>203.542</v>
      </c>
      <c r="S90" s="40">
        <v>-0.91</v>
      </c>
      <c r="T90" s="41">
        <v>175.615</v>
      </c>
      <c r="U90" s="40">
        <v>-0.903</v>
      </c>
      <c r="V90" s="41">
        <v>147.787</v>
      </c>
      <c r="W90" s="40">
        <v>-0.972</v>
      </c>
      <c r="X90" s="40">
        <v>116.238</v>
      </c>
      <c r="Y90" s="40">
        <v>-1.074</v>
      </c>
      <c r="Z90" s="40">
        <v>83.287</v>
      </c>
      <c r="AA90" s="42">
        <v>-1.108</v>
      </c>
    </row>
    <row r="93" ht="13.5" thickBot="1">
      <c r="B93" t="s">
        <v>9</v>
      </c>
    </row>
    <row r="94" spans="2:16" ht="13.5" thickBot="1">
      <c r="B94" s="7">
        <v>1981</v>
      </c>
      <c r="C94" s="8">
        <f>B94+1</f>
        <v>1982</v>
      </c>
      <c r="D94" s="8">
        <v>1988</v>
      </c>
      <c r="E94" s="8">
        <f>D94+1</f>
        <v>1989</v>
      </c>
      <c r="F94" s="8">
        <f aca="true" t="shared" si="3" ref="F94:P94">E94+1</f>
        <v>1990</v>
      </c>
      <c r="G94" s="8">
        <f t="shared" si="3"/>
        <v>1991</v>
      </c>
      <c r="H94" s="8">
        <f>G94+1</f>
        <v>1992</v>
      </c>
      <c r="I94" s="8">
        <f t="shared" si="3"/>
        <v>1993</v>
      </c>
      <c r="J94" s="8">
        <f t="shared" si="3"/>
        <v>1994</v>
      </c>
      <c r="K94" s="8">
        <f t="shared" si="3"/>
        <v>1995</v>
      </c>
      <c r="L94" s="8">
        <f>K94+1</f>
        <v>1996</v>
      </c>
      <c r="M94" s="8">
        <f t="shared" si="3"/>
        <v>1997</v>
      </c>
      <c r="N94" s="8">
        <f t="shared" si="3"/>
        <v>1998</v>
      </c>
      <c r="O94" s="8">
        <f t="shared" si="3"/>
        <v>1999</v>
      </c>
      <c r="P94" s="9">
        <f t="shared" si="3"/>
        <v>2000</v>
      </c>
    </row>
    <row r="95" spans="2:16" ht="12.75">
      <c r="B95" s="1">
        <v>0</v>
      </c>
      <c r="C95" s="2">
        <v>-0.242</v>
      </c>
      <c r="D95" s="2">
        <v>-0.696</v>
      </c>
      <c r="E95" s="2">
        <v>0.062</v>
      </c>
      <c r="F95" s="2">
        <v>-0.18</v>
      </c>
      <c r="G95" s="2">
        <v>-0.422</v>
      </c>
      <c r="H95" s="2">
        <v>-0.664</v>
      </c>
      <c r="I95" s="2">
        <v>0.093</v>
      </c>
      <c r="J95" s="2">
        <v>-0.149</v>
      </c>
      <c r="K95" s="2">
        <v>-0.391</v>
      </c>
      <c r="L95" s="2">
        <v>-0.633</v>
      </c>
      <c r="M95" s="2">
        <v>0.125</v>
      </c>
      <c r="N95" s="2">
        <v>-0.118</v>
      </c>
      <c r="O95" s="2">
        <v>-0.36</v>
      </c>
      <c r="P95" s="3">
        <v>-0.602</v>
      </c>
    </row>
    <row r="96" spans="2:16" ht="13.5" thickBot="1">
      <c r="B96" s="4"/>
      <c r="C96" s="5"/>
      <c r="D96" s="5">
        <v>0.304</v>
      </c>
      <c r="E96" s="5"/>
      <c r="F96" s="5"/>
      <c r="G96" s="5"/>
      <c r="H96" s="5">
        <v>0.336</v>
      </c>
      <c r="I96" s="5"/>
      <c r="J96" s="5"/>
      <c r="K96" s="5"/>
      <c r="L96" s="5">
        <v>0.367</v>
      </c>
      <c r="M96" s="5"/>
      <c r="N96" s="5"/>
      <c r="O96" s="5"/>
      <c r="P96" s="6">
        <v>0.398</v>
      </c>
    </row>
    <row r="98" spans="2:15" ht="13.5" thickBot="1">
      <c r="B98" t="s">
        <v>344</v>
      </c>
      <c r="O98" t="s">
        <v>341</v>
      </c>
    </row>
    <row r="99" spans="2:111" ht="13.5" thickBot="1">
      <c r="B99" s="10">
        <v>1</v>
      </c>
      <c r="C99" s="8">
        <v>2</v>
      </c>
      <c r="D99" s="8">
        <f aca="true" t="shared" si="4" ref="D99:M99">C99+1</f>
        <v>3</v>
      </c>
      <c r="E99" s="8">
        <f t="shared" si="4"/>
        <v>4</v>
      </c>
      <c r="F99" s="8">
        <f t="shared" si="4"/>
        <v>5</v>
      </c>
      <c r="G99" s="8">
        <f t="shared" si="4"/>
        <v>6</v>
      </c>
      <c r="H99" s="8">
        <f t="shared" si="4"/>
        <v>7</v>
      </c>
      <c r="I99" s="8">
        <f t="shared" si="4"/>
        <v>8</v>
      </c>
      <c r="J99" s="8">
        <f t="shared" si="4"/>
        <v>9</v>
      </c>
      <c r="K99" s="8">
        <f t="shared" si="4"/>
        <v>10</v>
      </c>
      <c r="L99" s="8">
        <f t="shared" si="4"/>
        <v>11</v>
      </c>
      <c r="M99" s="9">
        <f t="shared" si="4"/>
        <v>12</v>
      </c>
      <c r="O99" s="384" t="s">
        <v>342</v>
      </c>
      <c r="P99" s="381">
        <v>0</v>
      </c>
      <c r="Q99" s="382">
        <v>0.167</v>
      </c>
      <c r="R99" s="382">
        <v>0.333</v>
      </c>
      <c r="S99" s="382">
        <v>0.5</v>
      </c>
      <c r="T99" s="382">
        <v>0.667</v>
      </c>
      <c r="U99" s="382">
        <v>0.833</v>
      </c>
      <c r="V99" s="382">
        <v>1</v>
      </c>
      <c r="W99" s="382">
        <v>1.167</v>
      </c>
      <c r="X99" s="382">
        <v>1.333</v>
      </c>
      <c r="Y99" s="382">
        <v>1.5</v>
      </c>
      <c r="Z99" s="382">
        <v>1.667</v>
      </c>
      <c r="AA99" s="382">
        <v>1.833</v>
      </c>
      <c r="AB99" s="382">
        <v>2</v>
      </c>
      <c r="AC99" s="382">
        <v>2.167</v>
      </c>
      <c r="AD99" s="382">
        <v>2.333</v>
      </c>
      <c r="AE99" s="382">
        <v>2.5</v>
      </c>
      <c r="AF99" s="382">
        <v>2.667</v>
      </c>
      <c r="AG99" s="382">
        <v>2.833</v>
      </c>
      <c r="AH99" s="382">
        <v>3</v>
      </c>
      <c r="AI99" s="382">
        <v>3.167</v>
      </c>
      <c r="AJ99" s="382">
        <v>3.333</v>
      </c>
      <c r="AK99" s="382">
        <v>3.5</v>
      </c>
      <c r="AL99" s="382">
        <v>3.667</v>
      </c>
      <c r="AM99" s="382">
        <v>3.833</v>
      </c>
      <c r="AN99" s="382">
        <v>4</v>
      </c>
      <c r="AO99" s="382">
        <v>4.167</v>
      </c>
      <c r="AP99" s="382">
        <v>4.333</v>
      </c>
      <c r="AQ99" s="382">
        <v>4.5</v>
      </c>
      <c r="AR99" s="382">
        <v>4.667</v>
      </c>
      <c r="AS99" s="382">
        <v>4.833</v>
      </c>
      <c r="AT99" s="382">
        <v>5</v>
      </c>
      <c r="AU99" s="382">
        <v>5.167</v>
      </c>
      <c r="AV99" s="382">
        <v>5.333</v>
      </c>
      <c r="AW99" s="382">
        <v>5.5</v>
      </c>
      <c r="AX99" s="382">
        <v>5.667</v>
      </c>
      <c r="AY99" s="382">
        <v>5.833</v>
      </c>
      <c r="AZ99" s="382">
        <v>6</v>
      </c>
      <c r="BA99" s="382">
        <v>6.167</v>
      </c>
      <c r="BB99" s="382">
        <v>6.333</v>
      </c>
      <c r="BC99" s="382">
        <v>6.5</v>
      </c>
      <c r="BD99" s="382">
        <v>6.667</v>
      </c>
      <c r="BE99" s="382">
        <v>6.833</v>
      </c>
      <c r="BF99" s="382">
        <v>7</v>
      </c>
      <c r="BG99" s="382">
        <v>7.333</v>
      </c>
      <c r="BH99" s="382">
        <v>7.667</v>
      </c>
      <c r="BI99" s="382">
        <v>8</v>
      </c>
      <c r="BJ99" s="382">
        <v>8.333</v>
      </c>
      <c r="BK99" s="382">
        <v>8.667</v>
      </c>
      <c r="BL99" s="382">
        <v>9</v>
      </c>
      <c r="BM99" s="382">
        <v>9.333</v>
      </c>
      <c r="BN99" s="382">
        <v>9.667</v>
      </c>
      <c r="BO99" s="382">
        <v>10</v>
      </c>
      <c r="BP99" s="382">
        <v>10.333</v>
      </c>
      <c r="BQ99" s="382">
        <v>10.667</v>
      </c>
      <c r="BR99" s="382">
        <v>11</v>
      </c>
      <c r="BS99" s="382">
        <v>11.3</v>
      </c>
      <c r="BT99" s="382">
        <v>12</v>
      </c>
      <c r="BU99" s="382">
        <v>12.5</v>
      </c>
      <c r="BV99" s="382">
        <v>13</v>
      </c>
      <c r="BW99" s="382">
        <v>13.5</v>
      </c>
      <c r="BX99" s="382">
        <v>14</v>
      </c>
      <c r="BY99" s="382">
        <v>14.5</v>
      </c>
      <c r="BZ99" s="382">
        <v>15</v>
      </c>
      <c r="CA99" s="382">
        <v>15.5</v>
      </c>
      <c r="CB99" s="382">
        <v>16</v>
      </c>
      <c r="CC99" s="382">
        <v>16.5</v>
      </c>
      <c r="CD99" s="382">
        <v>17</v>
      </c>
      <c r="CE99" s="382">
        <v>17.5</v>
      </c>
      <c r="CF99" s="382">
        <v>18</v>
      </c>
      <c r="CG99" s="382">
        <v>18.5</v>
      </c>
      <c r="CH99" s="382">
        <v>19</v>
      </c>
      <c r="CI99" s="382">
        <v>19.5</v>
      </c>
      <c r="CJ99" s="382">
        <v>20</v>
      </c>
      <c r="CK99" s="382">
        <v>21</v>
      </c>
      <c r="CL99" s="382">
        <v>22</v>
      </c>
      <c r="CM99" s="382">
        <v>23</v>
      </c>
      <c r="CN99" s="382">
        <v>24</v>
      </c>
      <c r="CO99" s="382">
        <v>25</v>
      </c>
      <c r="CP99" s="382">
        <v>26</v>
      </c>
      <c r="CQ99" s="382">
        <v>27</v>
      </c>
      <c r="CR99" s="382">
        <v>28</v>
      </c>
      <c r="CS99" s="382">
        <v>29</v>
      </c>
      <c r="CT99" s="382">
        <v>30</v>
      </c>
      <c r="CU99" s="382">
        <v>32</v>
      </c>
      <c r="CV99" s="382">
        <v>34</v>
      </c>
      <c r="CW99" s="382">
        <v>36</v>
      </c>
      <c r="CX99" s="382">
        <v>38</v>
      </c>
      <c r="CY99" s="382">
        <v>40</v>
      </c>
      <c r="CZ99" s="382">
        <v>45</v>
      </c>
      <c r="DA99" s="382">
        <v>50</v>
      </c>
      <c r="DB99" s="382">
        <v>55</v>
      </c>
      <c r="DC99" s="382">
        <v>60</v>
      </c>
      <c r="DD99" s="382">
        <v>65</v>
      </c>
      <c r="DE99" s="382">
        <v>70</v>
      </c>
      <c r="DF99" s="382">
        <v>80</v>
      </c>
      <c r="DG99" s="383">
        <v>90</v>
      </c>
    </row>
    <row r="100" spans="2:111" ht="15" thickBot="1">
      <c r="B100" s="391">
        <v>100.557</v>
      </c>
      <c r="C100" s="392">
        <v>131.112</v>
      </c>
      <c r="D100" s="392">
        <v>158.71</v>
      </c>
      <c r="E100" s="392">
        <v>189.265</v>
      </c>
      <c r="F100" s="392">
        <v>218.835</v>
      </c>
      <c r="G100" s="392">
        <v>249.39</v>
      </c>
      <c r="H100" s="392">
        <v>278.958</v>
      </c>
      <c r="I100" s="392">
        <v>309.515</v>
      </c>
      <c r="J100" s="392">
        <v>340.068</v>
      </c>
      <c r="K100" s="392">
        <v>9.638</v>
      </c>
      <c r="L100" s="392">
        <v>40.193</v>
      </c>
      <c r="M100" s="393">
        <v>69.762</v>
      </c>
      <c r="O100" s="385" t="s">
        <v>343</v>
      </c>
      <c r="P100" s="378">
        <v>-33</v>
      </c>
      <c r="Q100" s="379">
        <v>-31.37</v>
      </c>
      <c r="R100" s="379">
        <v>-29.83</v>
      </c>
      <c r="S100" s="379">
        <v>-28.38</v>
      </c>
      <c r="T100" s="379">
        <v>-27</v>
      </c>
      <c r="U100" s="379">
        <v>-25.7</v>
      </c>
      <c r="V100" s="379">
        <v>-24.48</v>
      </c>
      <c r="W100" s="379">
        <v>-23.33</v>
      </c>
      <c r="X100" s="379">
        <v>-22.25</v>
      </c>
      <c r="Y100" s="379">
        <v>-21.25</v>
      </c>
      <c r="Z100" s="379">
        <v>-20.3</v>
      </c>
      <c r="AA100" s="379">
        <v>-19.42</v>
      </c>
      <c r="AB100" s="379">
        <v>-18.58</v>
      </c>
      <c r="AC100" s="379">
        <v>-17.8</v>
      </c>
      <c r="AD100" s="379">
        <v>-17.07</v>
      </c>
      <c r="AE100" s="379">
        <v>-16.4</v>
      </c>
      <c r="AF100" s="379">
        <v>-15.75</v>
      </c>
      <c r="AG100" s="379">
        <v>-15.15</v>
      </c>
      <c r="AH100" s="379">
        <v>-14.6</v>
      </c>
      <c r="AI100" s="379">
        <v>-14.07</v>
      </c>
      <c r="AJ100" s="379">
        <v>-13.57</v>
      </c>
      <c r="AK100" s="379">
        <v>-13.1</v>
      </c>
      <c r="AL100" s="379">
        <v>-12.67</v>
      </c>
      <c r="AM100" s="379">
        <v>-13.25</v>
      </c>
      <c r="AN100" s="379">
        <v>-11.85</v>
      </c>
      <c r="AO100" s="379">
        <v>-11.48</v>
      </c>
      <c r="AP100" s="379">
        <v>-11.13</v>
      </c>
      <c r="AQ100" s="379">
        <v>-10.8</v>
      </c>
      <c r="AR100" s="379">
        <v>-10.48</v>
      </c>
      <c r="AS100" s="379">
        <v>-10.18</v>
      </c>
      <c r="AT100" s="379">
        <v>-9.9</v>
      </c>
      <c r="AU100" s="379">
        <v>-9.63</v>
      </c>
      <c r="AV100" s="379">
        <v>-9.39</v>
      </c>
      <c r="AW100" s="379">
        <v>-9.13</v>
      </c>
      <c r="AX100" s="379">
        <v>-8.9</v>
      </c>
      <c r="AY100" s="379">
        <v>-8.68</v>
      </c>
      <c r="AZ100" s="379">
        <v>-8.47</v>
      </c>
      <c r="BA100" s="379">
        <v>-8.25</v>
      </c>
      <c r="BB100" s="379">
        <v>-8.05</v>
      </c>
      <c r="BC100" s="379">
        <v>-7.85</v>
      </c>
      <c r="BD100" s="379">
        <v>-7.67</v>
      </c>
      <c r="BE100" s="379">
        <v>-7.5</v>
      </c>
      <c r="BF100" s="379">
        <v>-7.33</v>
      </c>
      <c r="BG100" s="379">
        <v>-7.03</v>
      </c>
      <c r="BH100" s="379">
        <v>-6.75</v>
      </c>
      <c r="BI100" s="379">
        <v>-6.48</v>
      </c>
      <c r="BJ100" s="379">
        <v>-6.25</v>
      </c>
      <c r="BK100" s="379">
        <v>-6.02</v>
      </c>
      <c r="BL100" s="379">
        <v>-5.8</v>
      </c>
      <c r="BM100" s="379">
        <v>-5.6</v>
      </c>
      <c r="BN100" s="379">
        <v>-5.42</v>
      </c>
      <c r="BO100" s="379">
        <v>-5.25</v>
      </c>
      <c r="BP100" s="379">
        <v>-5.08</v>
      </c>
      <c r="BQ100" s="379">
        <v>-4.93</v>
      </c>
      <c r="BR100" s="379">
        <v>-4.78</v>
      </c>
      <c r="BS100" s="379">
        <v>-4.57</v>
      </c>
      <c r="BT100" s="379">
        <v>-4.38</v>
      </c>
      <c r="BU100" s="379">
        <v>-4.22</v>
      </c>
      <c r="BV100" s="379">
        <v>-4.05</v>
      </c>
      <c r="BW100" s="379">
        <v>-3.9</v>
      </c>
      <c r="BX100" s="379">
        <v>-3.7</v>
      </c>
      <c r="BY100" s="379">
        <v>-3.63</v>
      </c>
      <c r="BZ100" s="379">
        <v>-3.5</v>
      </c>
      <c r="CA100" s="379">
        <v>-3.4</v>
      </c>
      <c r="CB100" s="379">
        <v>-3.28</v>
      </c>
      <c r="CC100" s="379">
        <v>-3.17</v>
      </c>
      <c r="CD100" s="379">
        <v>-3.07</v>
      </c>
      <c r="CE100" s="379">
        <v>-3</v>
      </c>
      <c r="CF100" s="379">
        <v>-2.9</v>
      </c>
      <c r="CG100" s="379">
        <v>-2.82</v>
      </c>
      <c r="CH100" s="379">
        <v>-2.73</v>
      </c>
      <c r="CI100" s="379">
        <v>-2.67</v>
      </c>
      <c r="CJ100" s="379">
        <v>-2.58</v>
      </c>
      <c r="CK100" s="379">
        <v>-2.45</v>
      </c>
      <c r="CL100" s="379">
        <v>-2.33</v>
      </c>
      <c r="CM100" s="379">
        <v>-2.23</v>
      </c>
      <c r="CN100" s="379">
        <v>-2.13</v>
      </c>
      <c r="CO100" s="379">
        <v>-2.03</v>
      </c>
      <c r="CP100" s="379">
        <v>-1.93</v>
      </c>
      <c r="CQ100" s="379">
        <v>-1.85</v>
      </c>
      <c r="CR100" s="379">
        <v>-1.78</v>
      </c>
      <c r="CS100" s="379">
        <v>-1.7</v>
      </c>
      <c r="CT100" s="379">
        <v>-1.63</v>
      </c>
      <c r="CU100" s="379">
        <v>-1.52</v>
      </c>
      <c r="CV100" s="379">
        <v>-1.4</v>
      </c>
      <c r="CW100" s="379">
        <v>-1.3</v>
      </c>
      <c r="CX100" s="379">
        <v>-1.22</v>
      </c>
      <c r="CY100" s="379">
        <v>-1.13</v>
      </c>
      <c r="CZ100" s="379">
        <v>-0.95</v>
      </c>
      <c r="DA100" s="379">
        <v>-0.8</v>
      </c>
      <c r="DB100" s="379">
        <v>-0.67</v>
      </c>
      <c r="DC100" s="379">
        <v>-0.55</v>
      </c>
      <c r="DD100" s="379">
        <v>-0.43</v>
      </c>
      <c r="DE100" s="379">
        <v>-0.33</v>
      </c>
      <c r="DF100" s="379">
        <v>-0.17</v>
      </c>
      <c r="DG100" s="380">
        <v>0</v>
      </c>
    </row>
    <row r="101" spans="2:13" ht="13.5" thickBot="1">
      <c r="B101" s="394">
        <v>16.3</v>
      </c>
      <c r="C101" s="395">
        <v>16.2</v>
      </c>
      <c r="D101" s="395">
        <v>16.1</v>
      </c>
      <c r="E101" s="395">
        <v>16</v>
      </c>
      <c r="F101" s="395">
        <v>15.8</v>
      </c>
      <c r="G101" s="395">
        <v>15.8</v>
      </c>
      <c r="H101" s="395">
        <v>15.8</v>
      </c>
      <c r="I101" s="395">
        <v>15.8</v>
      </c>
      <c r="J101" s="395">
        <v>15.9</v>
      </c>
      <c r="K101" s="395">
        <v>16.1</v>
      </c>
      <c r="L101" s="395">
        <v>16.2</v>
      </c>
      <c r="M101" s="396">
        <v>16.3</v>
      </c>
    </row>
    <row r="102" ht="13.5" thickBot="1">
      <c r="O102" t="s">
        <v>346</v>
      </c>
    </row>
    <row r="103" spans="15:21" ht="13.5" thickBot="1">
      <c r="O103" s="384" t="s">
        <v>342</v>
      </c>
      <c r="P103" s="406">
        <v>0</v>
      </c>
      <c r="Q103" s="407">
        <v>20</v>
      </c>
      <c r="R103" s="407">
        <v>40</v>
      </c>
      <c r="S103" s="407">
        <v>60</v>
      </c>
      <c r="T103" s="407">
        <v>80</v>
      </c>
      <c r="U103" s="408">
        <v>90</v>
      </c>
    </row>
    <row r="104" spans="15:21" ht="16.5" thickBot="1">
      <c r="O104" s="385" t="s">
        <v>347</v>
      </c>
      <c r="P104" s="378">
        <v>0.15</v>
      </c>
      <c r="Q104" s="379">
        <v>0.13</v>
      </c>
      <c r="R104" s="379">
        <v>0.12</v>
      </c>
      <c r="S104" s="379">
        <v>0.07</v>
      </c>
      <c r="T104" s="379">
        <v>0.03</v>
      </c>
      <c r="U104" s="380">
        <v>0</v>
      </c>
    </row>
    <row r="106" spans="1:111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3"/>
      <c r="CM106" s="183"/>
      <c r="CN106" s="183"/>
      <c r="CO106" s="183"/>
      <c r="CP106" s="183"/>
      <c r="CQ106" s="183"/>
      <c r="CR106" s="183"/>
      <c r="CS106" s="183"/>
      <c r="CT106" s="183"/>
      <c r="CU106" s="183"/>
      <c r="CV106" s="183"/>
      <c r="CW106" s="183"/>
      <c r="CX106" s="183"/>
      <c r="CY106" s="183"/>
      <c r="CZ106" s="183"/>
      <c r="DA106" s="183"/>
      <c r="DB106" s="183"/>
      <c r="DC106" s="183"/>
      <c r="DD106" s="183"/>
      <c r="DE106" s="183"/>
      <c r="DF106" s="183"/>
      <c r="DG106" s="183"/>
    </row>
    <row r="108" ht="12.75">
      <c r="B108" s="68" t="s">
        <v>86</v>
      </c>
    </row>
    <row r="110" spans="3:15" ht="12.75">
      <c r="C110" s="68" t="s">
        <v>89</v>
      </c>
      <c r="I110" s="68" t="s">
        <v>96</v>
      </c>
      <c r="O110" s="68" t="s">
        <v>97</v>
      </c>
    </row>
    <row r="111" spans="6:18" ht="12.75">
      <c r="F111" t="s">
        <v>373</v>
      </c>
      <c r="L111" t="s">
        <v>374</v>
      </c>
      <c r="R111" s="141" t="str">
        <f>IF(AH27=0,"","  n3")</f>
        <v>  n3</v>
      </c>
    </row>
    <row r="112" spans="3:18" ht="12.75">
      <c r="C112" t="s">
        <v>91</v>
      </c>
      <c r="D112" s="107">
        <f>IF(OR($D$49=0,$D$49=90,$D$49=180,$D$49=270,$D$49=360),$D$49+0.1^1000000000,$D$49)</f>
        <v>167.80515028219386</v>
      </c>
      <c r="F112" s="139">
        <f>D112</f>
        <v>167.80515028219386</v>
      </c>
      <c r="I112" t="s">
        <v>91</v>
      </c>
      <c r="J112" s="107">
        <f>IF(OR($S$49=0,$S$49=90,$S$49=180,$S$49=270,$S$49=360),$S$49+0.1^1000000000,$S$49)</f>
        <v>212.9089079742431</v>
      </c>
      <c r="L112" s="140">
        <f>J112</f>
        <v>212.9089079742431</v>
      </c>
      <c r="O112" t="s">
        <v>91</v>
      </c>
      <c r="P112" s="107">
        <f>IF(OR($AH$49=0,$AH$49=90,$AH$49=180,$AH$49=270,$AH$49=360),$AH$49+0.1^1000000000,$AH$49)</f>
        <v>239.2833458868285</v>
      </c>
      <c r="R112" s="141">
        <f>IF(AH27=0,"",P112)</f>
        <v>239.2833458868285</v>
      </c>
    </row>
    <row r="113" spans="3:16" ht="12.75">
      <c r="C113" t="s">
        <v>92</v>
      </c>
      <c r="D113" s="59">
        <f>$D$47*60/COS(RADIANS(SIGN($D$53)*$D$53))</f>
        <v>0.7952208596982958</v>
      </c>
      <c r="I113" t="s">
        <v>92</v>
      </c>
      <c r="J113" s="59">
        <f>$S$47*60/COS(RADIANS(SIGN($S$53)*$S$53))</f>
        <v>-0.7682634803693195</v>
      </c>
      <c r="O113" t="s">
        <v>92</v>
      </c>
      <c r="P113" s="59">
        <f>$AH$47*60/COS(RADIANS(SIGN($AH$53)*$AH$53))</f>
        <v>3.4892096692626793</v>
      </c>
    </row>
    <row r="114" spans="3:18" ht="12.75">
      <c r="C114" s="108" t="s">
        <v>88</v>
      </c>
      <c r="D114" s="16"/>
      <c r="E114" s="16"/>
      <c r="F114" s="56"/>
      <c r="I114" s="108" t="s">
        <v>88</v>
      </c>
      <c r="J114" s="16"/>
      <c r="K114" s="16"/>
      <c r="L114" s="56"/>
      <c r="O114" s="108" t="s">
        <v>88</v>
      </c>
      <c r="P114" s="16"/>
      <c r="Q114" s="16"/>
      <c r="R114" s="56"/>
    </row>
    <row r="115" spans="3:18" ht="12.75">
      <c r="C115" s="109" t="s">
        <v>87</v>
      </c>
      <c r="D115" s="113">
        <f>IF(AND(D$112&gt;0,D$112&lt;90),1/TAN(RADIANS(D$112)),IF(AND(D$112&gt;90,D$112&lt;180),-1/TAN(RADIANS(180-D$112)),IF(AND(D$112&gt;180,D$112&lt;270),1/TAN(RADIANS(D$112-180)),-1/TAN(RADIANS(360-D$112)))))</f>
        <v>-4.62719684991266</v>
      </c>
      <c r="E115" s="57"/>
      <c r="F115" s="58"/>
      <c r="I115" s="109" t="s">
        <v>87</v>
      </c>
      <c r="J115" s="113">
        <f>IF(AND(J$112&gt;0,J$112&lt;90),1/TAN(RADIANS(J$112)),IF(AND(J$112&gt;90,J$112&lt;180),-1/TAN(RADIANS(180-J$112)),IF(AND(J$112&gt;180,J$112&lt;270),1/TAN(RADIANS(J$112-180)),-1/TAN(RADIANS(360-J$112)))))</f>
        <v>1.5452378184763982</v>
      </c>
      <c r="K115" s="57"/>
      <c r="L115" s="58"/>
      <c r="O115" s="109" t="s">
        <v>87</v>
      </c>
      <c r="P115" s="113">
        <f>IF(AND(P$112&gt;0,P$112&lt;90),1/TAN(RADIANS(P$112)),IF(AND(P$112&gt;90,P$112&lt;180),-1/TAN(RADIANS(180-P$112)),IF(AND(P$112&gt;180,P$112&lt;270),1/TAN(RADIANS(P$112-180)),-1/TAN(RADIANS(360-P$112)))))</f>
        <v>0.5941497610152444</v>
      </c>
      <c r="Q115" s="57"/>
      <c r="R115" s="58"/>
    </row>
    <row r="116" spans="3:16" ht="12.75">
      <c r="C116" s="105"/>
      <c r="D116" s="106"/>
      <c r="I116" s="105"/>
      <c r="J116" s="106"/>
      <c r="O116" s="105"/>
      <c r="P116" s="106"/>
    </row>
    <row r="117" spans="3:16" ht="12.75">
      <c r="C117" t="s">
        <v>90</v>
      </c>
      <c r="D117" s="106"/>
      <c r="I117" t="s">
        <v>90</v>
      </c>
      <c r="J117" s="106"/>
      <c r="O117" t="s">
        <v>90</v>
      </c>
      <c r="P117" s="106"/>
    </row>
    <row r="118" spans="3:16" ht="12.75">
      <c r="C118" s="105" t="s">
        <v>87</v>
      </c>
      <c r="D118" s="112">
        <f>IF(AND(D$112&gt;0,D$112&lt;90),TAN(RADIANS(180-D$112)),IF(AND(D$112&gt;90,D$112&lt;180),TAN(RADIANS(180-D$112)),IF(AND(D$112&gt;180,D$112&lt;270),TAN(RADIANS(360-D$112)),TAN(RADIANS(360-D$112)))))</f>
        <v>0.21611356344584204</v>
      </c>
      <c r="I118" s="105" t="s">
        <v>87</v>
      </c>
      <c r="J118" s="112">
        <f>IF(AND(J$112&gt;0,J$112&lt;90),TAN(RADIANS(180-J$112)),IF(AND(J$112&gt;90,J$112&lt;180),TAN(RADIANS(180-J$112)),IF(AND(J$112&gt;180,J$112&lt;270),TAN(RADIANS(360-J$112)),TAN(RADIANS(360-J$112)))))</f>
        <v>-0.6471495766172732</v>
      </c>
      <c r="O118" s="105" t="s">
        <v>87</v>
      </c>
      <c r="P118" s="112">
        <f>IF(AND(P$112&gt;0,P$112&lt;90),TAN(RADIANS(180-P$112)),IF(AND(P$112&gt;90,P$112&lt;180),TAN(RADIANS(180-P$112)),IF(AND(P$112&gt;180,P$112&lt;270),TAN(RADIANS(360-P$112)),TAN(RADIANS(360-P$112)))))</f>
        <v>-1.6830773411256867</v>
      </c>
    </row>
    <row r="119" spans="3:16" ht="12.75">
      <c r="C119" s="106" t="s">
        <v>93</v>
      </c>
      <c r="D119" s="110">
        <f>IF(AND(D$112&gt;0,D$112&lt;90),D$113/COS(RADIANS(D$112)),IF(AND(D$112&gt;90,D$112&lt;180),-D$113/COS(RADIANS(180-D$112)),IF(AND(D$112&gt;180,D$112&lt;270),-D$113/COS(RADIANS(D$112-180)),D$113/COS(RADIANS(360-D$112)))))</f>
        <v>-0.813579370791602</v>
      </c>
      <c r="I119" s="106" t="s">
        <v>93</v>
      </c>
      <c r="J119" s="110">
        <f>IF(AND(J$112&gt;0,J$112&lt;90),J$113/COS(RADIANS(J$112)),IF(AND(J$112&gt;90,J$112&lt;180),-J$113/COS(RADIANS(180-J$112)),IF(AND(J$112&gt;180,J$112&lt;270),-J$113/COS(RADIANS(J$112-180)),J$113/COS(RADIANS(360-J$112)))))</f>
        <v>0.9151055162686367</v>
      </c>
      <c r="O119" s="106" t="s">
        <v>93</v>
      </c>
      <c r="P119" s="110">
        <f>IF(AND(P$112&gt;0,P$112&lt;90),P$113/COS(RADIANS(P$112)),IF(AND(P$112&gt;90,P$112&lt;180),-P$113/COS(RADIANS(180-P$112)),IF(AND(P$112&gt;180,P$112&lt;270),-P$113/COS(RADIANS(P$112-180)),P$113/COS(RADIANS(360-P$112)))))</f>
        <v>-6.830968393246485</v>
      </c>
    </row>
    <row r="120" ht="12.75">
      <c r="E120" s="14"/>
    </row>
    <row r="121" spans="3:16" ht="12.75">
      <c r="C121" s="103"/>
      <c r="D121" s="103"/>
      <c r="E121" s="114"/>
      <c r="F121" s="114"/>
      <c r="G121" s="114"/>
      <c r="H121" s="114"/>
      <c r="I121" s="103"/>
      <c r="J121" s="103"/>
      <c r="O121" s="103"/>
      <c r="P121" s="103"/>
    </row>
    <row r="122" spans="3:16" ht="12.75">
      <c r="C122" s="114"/>
      <c r="D122" s="114"/>
      <c r="E122" s="114"/>
      <c r="F122" s="114"/>
      <c r="G122" s="114"/>
      <c r="H122" s="114"/>
      <c r="I122" s="104"/>
      <c r="J122" s="103"/>
      <c r="O122" s="104"/>
      <c r="P122" s="103"/>
    </row>
    <row r="123" spans="2:16" ht="12.75">
      <c r="B123" s="93" t="s">
        <v>52</v>
      </c>
      <c r="C123" s="91" t="s">
        <v>94</v>
      </c>
      <c r="D123" s="92" t="s">
        <v>95</v>
      </c>
      <c r="I123" s="91" t="s">
        <v>94</v>
      </c>
      <c r="J123" s="92" t="s">
        <v>95</v>
      </c>
      <c r="O123" s="91" t="s">
        <v>94</v>
      </c>
      <c r="P123" s="92" t="s">
        <v>95</v>
      </c>
    </row>
    <row r="124" spans="2:16" ht="12.75">
      <c r="B124" s="77">
        <v>-10</v>
      </c>
      <c r="C124" s="87">
        <f>D$115*$B124</f>
        <v>46.2719684991266</v>
      </c>
      <c r="D124" s="88">
        <f>D$118*$B124+D$119</f>
        <v>-2.9747150052500224</v>
      </c>
      <c r="I124" s="87">
        <f aca="true" t="shared" si="5" ref="I124:I144">J$115*$B124</f>
        <v>-15.452378184763981</v>
      </c>
      <c r="J124" s="88">
        <f aca="true" t="shared" si="6" ref="J124:J144">J$118*$B124+J$119</f>
        <v>7.386601282441369</v>
      </c>
      <c r="O124" s="87">
        <f aca="true" t="shared" si="7" ref="O124:O144">IF($AH$27=0,100,P$115*$B124)</f>
        <v>-5.941497610152444</v>
      </c>
      <c r="P124" s="88">
        <f aca="true" t="shared" si="8" ref="P124:P144">IF($AH$27=0,100,P$118*$B124+P$119)</f>
        <v>9.999805018010383</v>
      </c>
    </row>
    <row r="125" spans="2:16" ht="12.75">
      <c r="B125" s="77">
        <f>B124+1</f>
        <v>-9</v>
      </c>
      <c r="C125" s="87">
        <f aca="true" t="shared" si="9" ref="C125:C144">D$115*$B125</f>
        <v>41.644771649213936</v>
      </c>
      <c r="D125" s="88">
        <f aca="true" t="shared" si="10" ref="D125:D144">D$118*$B125+D$119</f>
        <v>-2.7586014418041804</v>
      </c>
      <c r="I125" s="87">
        <f t="shared" si="5"/>
        <v>-13.907140366287583</v>
      </c>
      <c r="J125" s="88">
        <f t="shared" si="6"/>
        <v>6.739451705824096</v>
      </c>
      <c r="O125" s="87">
        <f t="shared" si="7"/>
        <v>-5.3473478491372</v>
      </c>
      <c r="P125" s="88">
        <f t="shared" si="8"/>
        <v>8.316727676884696</v>
      </c>
    </row>
    <row r="126" spans="2:16" ht="12.75">
      <c r="B126" s="77">
        <f aca="true" t="shared" si="11" ref="B126:B144">B125+1</f>
        <v>-8</v>
      </c>
      <c r="C126" s="87">
        <f t="shared" si="9"/>
        <v>37.01757479930128</v>
      </c>
      <c r="D126" s="88">
        <f t="shared" si="10"/>
        <v>-2.5424878783583384</v>
      </c>
      <c r="I126" s="87">
        <f t="shared" si="5"/>
        <v>-12.361902547811185</v>
      </c>
      <c r="J126" s="88">
        <f t="shared" si="6"/>
        <v>6.092302129206822</v>
      </c>
      <c r="O126" s="87">
        <f t="shared" si="7"/>
        <v>-4.753198088121955</v>
      </c>
      <c r="P126" s="88">
        <f t="shared" si="8"/>
        <v>6.633650335759009</v>
      </c>
    </row>
    <row r="127" spans="2:16" ht="12.75">
      <c r="B127" s="77">
        <f t="shared" si="11"/>
        <v>-7</v>
      </c>
      <c r="C127" s="87">
        <f t="shared" si="9"/>
        <v>32.39037794938862</v>
      </c>
      <c r="D127" s="88">
        <f t="shared" si="10"/>
        <v>-2.3263743149124965</v>
      </c>
      <c r="I127" s="87">
        <f t="shared" si="5"/>
        <v>-10.816664729334788</v>
      </c>
      <c r="J127" s="88">
        <f t="shared" si="6"/>
        <v>5.4451525525895486</v>
      </c>
      <c r="O127" s="87">
        <f t="shared" si="7"/>
        <v>-4.159048327106711</v>
      </c>
      <c r="P127" s="88">
        <f t="shared" si="8"/>
        <v>4.950572994633323</v>
      </c>
    </row>
    <row r="128" spans="2:16" ht="12.75">
      <c r="B128" s="77">
        <f t="shared" si="11"/>
        <v>-6</v>
      </c>
      <c r="C128" s="87">
        <f t="shared" si="9"/>
        <v>27.763181099475958</v>
      </c>
      <c r="D128" s="88">
        <f t="shared" si="10"/>
        <v>-2.1102607514666545</v>
      </c>
      <c r="I128" s="87">
        <f t="shared" si="5"/>
        <v>-9.27142691085839</v>
      </c>
      <c r="J128" s="88">
        <f t="shared" si="6"/>
        <v>4.798002975972276</v>
      </c>
      <c r="O128" s="87">
        <f t="shared" si="7"/>
        <v>-3.5648985660914665</v>
      </c>
      <c r="P128" s="88">
        <f t="shared" si="8"/>
        <v>3.267495653507636</v>
      </c>
    </row>
    <row r="129" spans="2:16" ht="12.75">
      <c r="B129" s="77">
        <f t="shared" si="11"/>
        <v>-5</v>
      </c>
      <c r="C129" s="87">
        <f t="shared" si="9"/>
        <v>23.1359842495633</v>
      </c>
      <c r="D129" s="88">
        <f t="shared" si="10"/>
        <v>-1.894147188020812</v>
      </c>
      <c r="I129" s="87">
        <f t="shared" si="5"/>
        <v>-7.726189092381991</v>
      </c>
      <c r="J129" s="88">
        <f t="shared" si="6"/>
        <v>4.150853399355003</v>
      </c>
      <c r="O129" s="87">
        <f t="shared" si="7"/>
        <v>-2.970748805076222</v>
      </c>
      <c r="P129" s="88">
        <f t="shared" si="8"/>
        <v>1.584418312381949</v>
      </c>
    </row>
    <row r="130" spans="2:16" ht="12.75">
      <c r="B130" s="77">
        <f t="shared" si="11"/>
        <v>-4</v>
      </c>
      <c r="C130" s="87">
        <f t="shared" si="9"/>
        <v>18.50878739965064</v>
      </c>
      <c r="D130" s="88">
        <f t="shared" si="10"/>
        <v>-1.67803362457497</v>
      </c>
      <c r="I130" s="87">
        <f t="shared" si="5"/>
        <v>-6.180951273905593</v>
      </c>
      <c r="J130" s="88">
        <f t="shared" si="6"/>
        <v>3.5037038227377297</v>
      </c>
      <c r="O130" s="87">
        <f t="shared" si="7"/>
        <v>-2.3765990440609777</v>
      </c>
      <c r="P130" s="88">
        <f t="shared" si="8"/>
        <v>-0.09865902874373766</v>
      </c>
    </row>
    <row r="131" spans="2:16" ht="12.75">
      <c r="B131" s="77">
        <f t="shared" si="11"/>
        <v>-3</v>
      </c>
      <c r="C131" s="87">
        <f t="shared" si="9"/>
        <v>13.881590549737979</v>
      </c>
      <c r="D131" s="88">
        <f t="shared" si="10"/>
        <v>-1.461920061129128</v>
      </c>
      <c r="I131" s="87">
        <f t="shared" si="5"/>
        <v>-4.635713455429195</v>
      </c>
      <c r="J131" s="88">
        <f t="shared" si="6"/>
        <v>2.8565542461204565</v>
      </c>
      <c r="O131" s="87">
        <f t="shared" si="7"/>
        <v>-1.7824492830457332</v>
      </c>
      <c r="P131" s="88">
        <f t="shared" si="8"/>
        <v>-1.7817363698694244</v>
      </c>
    </row>
    <row r="132" spans="2:16" ht="12.75">
      <c r="B132" s="77">
        <f t="shared" si="11"/>
        <v>-2</v>
      </c>
      <c r="C132" s="87">
        <f t="shared" si="9"/>
        <v>9.25439369982532</v>
      </c>
      <c r="D132" s="88">
        <f t="shared" si="10"/>
        <v>-1.245806497683286</v>
      </c>
      <c r="I132" s="87">
        <f t="shared" si="5"/>
        <v>-3.0904756369527964</v>
      </c>
      <c r="J132" s="88">
        <f t="shared" si="6"/>
        <v>2.2094046695031833</v>
      </c>
      <c r="O132" s="87">
        <f t="shared" si="7"/>
        <v>-1.1882995220304888</v>
      </c>
      <c r="P132" s="88">
        <f t="shared" si="8"/>
        <v>-3.464813710995111</v>
      </c>
    </row>
    <row r="133" spans="2:16" ht="12.75">
      <c r="B133" s="77">
        <f t="shared" si="11"/>
        <v>-1</v>
      </c>
      <c r="C133" s="87">
        <f t="shared" si="9"/>
        <v>4.62719684991266</v>
      </c>
      <c r="D133" s="88">
        <f t="shared" si="10"/>
        <v>-1.0296929342374441</v>
      </c>
      <c r="I133" s="87">
        <f t="shared" si="5"/>
        <v>-1.5452378184763982</v>
      </c>
      <c r="J133" s="88">
        <f t="shared" si="6"/>
        <v>1.56225509288591</v>
      </c>
      <c r="O133" s="87">
        <f t="shared" si="7"/>
        <v>-0.5941497610152444</v>
      </c>
      <c r="P133" s="88">
        <f t="shared" si="8"/>
        <v>-5.147891052120798</v>
      </c>
    </row>
    <row r="134" spans="2:16" ht="12.75">
      <c r="B134" s="77">
        <f t="shared" si="11"/>
        <v>0</v>
      </c>
      <c r="C134" s="87">
        <f t="shared" si="9"/>
        <v>0</v>
      </c>
      <c r="D134" s="88">
        <f t="shared" si="10"/>
        <v>-0.813579370791602</v>
      </c>
      <c r="I134" s="87">
        <f t="shared" si="5"/>
        <v>0</v>
      </c>
      <c r="J134" s="88">
        <f t="shared" si="6"/>
        <v>0.9151055162686367</v>
      </c>
      <c r="O134" s="87">
        <f t="shared" si="7"/>
        <v>0</v>
      </c>
      <c r="P134" s="88">
        <f t="shared" si="8"/>
        <v>-6.830968393246485</v>
      </c>
    </row>
    <row r="135" spans="2:16" ht="12.75">
      <c r="B135" s="77">
        <f t="shared" si="11"/>
        <v>1</v>
      </c>
      <c r="C135" s="87">
        <f t="shared" si="9"/>
        <v>-4.62719684991266</v>
      </c>
      <c r="D135" s="88">
        <f t="shared" si="10"/>
        <v>-0.5974658073457599</v>
      </c>
      <c r="I135" s="87">
        <f t="shared" si="5"/>
        <v>1.5452378184763982</v>
      </c>
      <c r="J135" s="88">
        <f t="shared" si="6"/>
        <v>0.26795593965136344</v>
      </c>
      <c r="O135" s="87">
        <f t="shared" si="7"/>
        <v>0.5941497610152444</v>
      </c>
      <c r="P135" s="88">
        <f t="shared" si="8"/>
        <v>-8.514045734372171</v>
      </c>
    </row>
    <row r="136" spans="2:16" ht="12.75">
      <c r="B136" s="77">
        <f t="shared" si="11"/>
        <v>2</v>
      </c>
      <c r="C136" s="87">
        <f t="shared" si="9"/>
        <v>-9.25439369982532</v>
      </c>
      <c r="D136" s="88">
        <f t="shared" si="10"/>
        <v>-0.38135224389991795</v>
      </c>
      <c r="I136" s="87">
        <f t="shared" si="5"/>
        <v>3.0904756369527964</v>
      </c>
      <c r="J136" s="88">
        <f t="shared" si="6"/>
        <v>-0.3791936369659098</v>
      </c>
      <c r="O136" s="87">
        <f t="shared" si="7"/>
        <v>1.1882995220304888</v>
      </c>
      <c r="P136" s="88">
        <f t="shared" si="8"/>
        <v>-10.197123075497858</v>
      </c>
    </row>
    <row r="137" spans="2:16" ht="12.75">
      <c r="B137" s="77">
        <f t="shared" si="11"/>
        <v>3</v>
      </c>
      <c r="C137" s="87">
        <f t="shared" si="9"/>
        <v>-13.881590549737979</v>
      </c>
      <c r="D137" s="88">
        <f t="shared" si="10"/>
        <v>-0.16523868045407586</v>
      </c>
      <c r="I137" s="87">
        <f t="shared" si="5"/>
        <v>4.635713455429195</v>
      </c>
      <c r="J137" s="88">
        <f t="shared" si="6"/>
        <v>-1.026343213583183</v>
      </c>
      <c r="O137" s="87">
        <f t="shared" si="7"/>
        <v>1.7824492830457332</v>
      </c>
      <c r="P137" s="88">
        <f t="shared" si="8"/>
        <v>-11.880200416623545</v>
      </c>
    </row>
    <row r="138" spans="2:16" ht="12.75">
      <c r="B138" s="77">
        <f t="shared" si="11"/>
        <v>4</v>
      </c>
      <c r="C138" s="87">
        <f t="shared" si="9"/>
        <v>-18.50878739965064</v>
      </c>
      <c r="D138" s="88">
        <f t="shared" si="10"/>
        <v>0.050874882991766124</v>
      </c>
      <c r="I138" s="87">
        <f t="shared" si="5"/>
        <v>6.180951273905593</v>
      </c>
      <c r="J138" s="88">
        <f t="shared" si="6"/>
        <v>-1.6734927902004562</v>
      </c>
      <c r="O138" s="87">
        <f t="shared" si="7"/>
        <v>2.3765990440609777</v>
      </c>
      <c r="P138" s="88">
        <f t="shared" si="8"/>
        <v>-13.563277757749232</v>
      </c>
    </row>
    <row r="139" spans="2:16" ht="12.75">
      <c r="B139" s="77">
        <f t="shared" si="11"/>
        <v>5</v>
      </c>
      <c r="C139" s="87">
        <f t="shared" si="9"/>
        <v>-23.1359842495633</v>
      </c>
      <c r="D139" s="88">
        <f t="shared" si="10"/>
        <v>0.2669884464376081</v>
      </c>
      <c r="I139" s="87">
        <f t="shared" si="5"/>
        <v>7.726189092381991</v>
      </c>
      <c r="J139" s="88">
        <f t="shared" si="6"/>
        <v>-2.3206423668177294</v>
      </c>
      <c r="O139" s="87">
        <f t="shared" si="7"/>
        <v>2.970748805076222</v>
      </c>
      <c r="P139" s="88">
        <f t="shared" si="8"/>
        <v>-15.246355098874918</v>
      </c>
    </row>
    <row r="140" spans="2:16" ht="12.75">
      <c r="B140" s="77">
        <f t="shared" si="11"/>
        <v>6</v>
      </c>
      <c r="C140" s="87">
        <f t="shared" si="9"/>
        <v>-27.763181099475958</v>
      </c>
      <c r="D140" s="88">
        <f t="shared" si="10"/>
        <v>0.4831020098834503</v>
      </c>
      <c r="I140" s="87">
        <f t="shared" si="5"/>
        <v>9.27142691085839</v>
      </c>
      <c r="J140" s="88">
        <f t="shared" si="6"/>
        <v>-2.9677919434350026</v>
      </c>
      <c r="O140" s="87">
        <f t="shared" si="7"/>
        <v>3.5648985660914665</v>
      </c>
      <c r="P140" s="88">
        <f t="shared" si="8"/>
        <v>-16.929432440000603</v>
      </c>
    </row>
    <row r="141" spans="2:16" ht="12.75">
      <c r="B141" s="77">
        <f t="shared" si="11"/>
        <v>7</v>
      </c>
      <c r="C141" s="87">
        <f t="shared" si="9"/>
        <v>-32.39037794938862</v>
      </c>
      <c r="D141" s="88">
        <f t="shared" si="10"/>
        <v>0.6992155733292923</v>
      </c>
      <c r="I141" s="87">
        <f t="shared" si="5"/>
        <v>10.816664729334788</v>
      </c>
      <c r="J141" s="88">
        <f t="shared" si="6"/>
        <v>-3.6149415200522754</v>
      </c>
      <c r="O141" s="87">
        <f t="shared" si="7"/>
        <v>4.159048327106711</v>
      </c>
      <c r="P141" s="88">
        <f t="shared" si="8"/>
        <v>-18.612509781126292</v>
      </c>
    </row>
    <row r="142" spans="2:16" ht="12.75">
      <c r="B142" s="77">
        <f t="shared" si="11"/>
        <v>8</v>
      </c>
      <c r="C142" s="87">
        <f t="shared" si="9"/>
        <v>-37.01757479930128</v>
      </c>
      <c r="D142" s="88">
        <f t="shared" si="10"/>
        <v>0.9153291367751343</v>
      </c>
      <c r="I142" s="87">
        <f t="shared" si="5"/>
        <v>12.361902547811185</v>
      </c>
      <c r="J142" s="88">
        <f t="shared" si="6"/>
        <v>-4.2620910966695496</v>
      </c>
      <c r="O142" s="87">
        <f t="shared" si="7"/>
        <v>4.753198088121955</v>
      </c>
      <c r="P142" s="88">
        <f t="shared" si="8"/>
        <v>-20.29558712225198</v>
      </c>
    </row>
    <row r="143" spans="2:16" ht="12.75">
      <c r="B143" s="77">
        <f t="shared" si="11"/>
        <v>9</v>
      </c>
      <c r="C143" s="87">
        <f t="shared" si="9"/>
        <v>-41.644771649213936</v>
      </c>
      <c r="D143" s="88">
        <f t="shared" si="10"/>
        <v>1.1314427002209761</v>
      </c>
      <c r="I143" s="87">
        <f t="shared" si="5"/>
        <v>13.907140366287583</v>
      </c>
      <c r="J143" s="88">
        <f t="shared" si="6"/>
        <v>-4.909240673286823</v>
      </c>
      <c r="O143" s="87">
        <f t="shared" si="7"/>
        <v>5.3473478491372</v>
      </c>
      <c r="P143" s="88">
        <f t="shared" si="8"/>
        <v>-21.978664463377665</v>
      </c>
    </row>
    <row r="144" spans="2:16" ht="12.75">
      <c r="B144" s="77">
        <f t="shared" si="11"/>
        <v>10</v>
      </c>
      <c r="C144" s="89">
        <f t="shared" si="9"/>
        <v>-46.2719684991266</v>
      </c>
      <c r="D144" s="90">
        <f t="shared" si="10"/>
        <v>1.3475562636668181</v>
      </c>
      <c r="I144" s="89">
        <f t="shared" si="5"/>
        <v>15.452378184763981</v>
      </c>
      <c r="J144" s="90">
        <f t="shared" si="6"/>
        <v>-5.556390249904096</v>
      </c>
      <c r="O144" s="89">
        <f t="shared" si="7"/>
        <v>5.941497610152444</v>
      </c>
      <c r="P144" s="90">
        <f t="shared" si="8"/>
        <v>-23.66174180450335</v>
      </c>
    </row>
    <row r="148" ht="13.5" thickBot="1">
      <c r="B148" s="68" t="s">
        <v>98</v>
      </c>
    </row>
    <row r="149" spans="10:18" ht="12.75">
      <c r="J149" s="204" t="s">
        <v>295</v>
      </c>
      <c r="K149" s="205"/>
      <c r="L149" s="205"/>
      <c r="M149" s="205"/>
      <c r="N149" s="205"/>
      <c r="O149" s="205"/>
      <c r="P149" s="205"/>
      <c r="Q149" s="205"/>
      <c r="R149" s="206"/>
    </row>
    <row r="150" spans="2:18" ht="12.75">
      <c r="B150" s="527" t="s">
        <v>147</v>
      </c>
      <c r="C150" s="534">
        <f>(J119-D119)/(D118-J118)</f>
        <v>2.0025005202166404</v>
      </c>
      <c r="D150" s="528" t="s">
        <v>101</v>
      </c>
      <c r="E150" s="16">
        <f>S53+C152/60</f>
        <v>22.99415768076773</v>
      </c>
      <c r="F150" s="529">
        <f>INT(SIGN($E$150)*$E$150)</f>
        <v>22</v>
      </c>
      <c r="G150" s="530">
        <f>(SIGN($E$150)*$E$150-INT(SIGN($E$150)*$E$150))*60</f>
        <v>59.64946084606389</v>
      </c>
      <c r="H150" s="56" t="str">
        <f>IF($E$150&gt;=0,"N","S")</f>
        <v>N</v>
      </c>
      <c r="J150" s="207"/>
      <c r="K150" s="208"/>
      <c r="L150" s="208"/>
      <c r="M150" s="208"/>
      <c r="N150" s="208"/>
      <c r="O150" s="208"/>
      <c r="P150" s="208"/>
      <c r="Q150" s="208"/>
      <c r="R150" s="209"/>
    </row>
    <row r="151" spans="2:18" ht="12.75">
      <c r="B151" s="142" t="s">
        <v>148</v>
      </c>
      <c r="C151" s="535">
        <f>C150*D118+D119</f>
        <v>-0.3808118475654314</v>
      </c>
      <c r="D151" s="94" t="s">
        <v>100</v>
      </c>
      <c r="E151" s="26">
        <f>S54+C150/60</f>
        <v>-87.96662499132972</v>
      </c>
      <c r="F151" s="531">
        <f>INT(SIGN($E$151)*$E$151)</f>
        <v>87</v>
      </c>
      <c r="G151" s="98">
        <f>(SIGN($E$151)*$E$151-INT(SIGN($E$151)*$E$151))*60</f>
        <v>57.997499479783414</v>
      </c>
      <c r="H151" s="64" t="str">
        <f>IF($E$151&gt;=0,"E","W")</f>
        <v>W</v>
      </c>
      <c r="J151" s="210" t="s">
        <v>289</v>
      </c>
      <c r="K151" s="211">
        <f>IF(AH27&lt;&gt;0,I167,C150)</f>
        <v>-2.170651681335513</v>
      </c>
      <c r="L151" s="203" t="s">
        <v>291</v>
      </c>
      <c r="M151" s="212">
        <f>K151</f>
        <v>-2.170651681335513</v>
      </c>
      <c r="N151" s="203" t="s">
        <v>294</v>
      </c>
      <c r="O151" s="213">
        <f>IF(AH27&lt;&gt;"",AH54+M151/60,S54+M151/60)</f>
        <v>-88.53617752802226</v>
      </c>
      <c r="P151" s="214">
        <f>INT(SIGN(O151)*O151)</f>
        <v>88</v>
      </c>
      <c r="Q151" s="215">
        <f>(SIGN(O151)*O151-INT(SIGN(O151)*O151))*60</f>
        <v>32.17065168133587</v>
      </c>
      <c r="R151" s="209" t="str">
        <f>IF(O151&gt;=0,"E","W")</f>
        <v>W</v>
      </c>
    </row>
    <row r="152" spans="2:18" ht="13.5" thickBot="1">
      <c r="B152" s="532" t="s">
        <v>99</v>
      </c>
      <c r="C152" s="533">
        <f>C151*COS(RADIANS(SIGN($D$53)*$D$53))</f>
        <v>-0.3505391539361705</v>
      </c>
      <c r="D152" s="57"/>
      <c r="E152" s="57"/>
      <c r="F152" s="57"/>
      <c r="G152" s="57"/>
      <c r="H152" s="58"/>
      <c r="J152" s="216" t="s">
        <v>290</v>
      </c>
      <c r="K152" s="217">
        <f>IF(AH27&lt;&gt;0,I168,C151)</f>
        <v>-0.1856740395769012</v>
      </c>
      <c r="L152" s="218" t="s">
        <v>292</v>
      </c>
      <c r="M152" s="219">
        <f>IF(AH27&lt;&gt;"",K152*COS(RADIANS(SIGN($AH$53)*$AH$53)),K152*COS(RADIANS(SIGN($S$53)*$S$53)))</f>
        <v>-0.17091385459065805</v>
      </c>
      <c r="N152" s="218" t="s">
        <v>293</v>
      </c>
      <c r="O152" s="220">
        <f>IF(AH27&lt;&gt;"",AH53+M152/60,S53+M152/60)</f>
        <v>22.997151435756823</v>
      </c>
      <c r="P152" s="221">
        <f>INT(SIGN(O152)*O152)</f>
        <v>22</v>
      </c>
      <c r="Q152" s="222">
        <f>(SIGN(O152)*O152-INT(SIGN(O152)*O152))*60</f>
        <v>59.82908614540939</v>
      </c>
      <c r="R152" s="223" t="str">
        <f>IF(O152&gt;=0,"N","S")</f>
        <v>N</v>
      </c>
    </row>
    <row r="154" spans="2:12" ht="12.75">
      <c r="B154" s="68" t="s">
        <v>104</v>
      </c>
      <c r="K154" s="14" t="s">
        <v>369</v>
      </c>
      <c r="L154" s="459">
        <f>SIGN(DEGREES(ATAN(K151/K152)))*DEGREES(ATAN(K151/K152))</f>
        <v>85.11091254990178</v>
      </c>
    </row>
    <row r="155" spans="11:13" ht="12.75">
      <c r="K155" s="460" t="s">
        <v>370</v>
      </c>
      <c r="L155" s="461">
        <f>IF(AND(K151=0,K152=0),"",IF(AND(K151&gt;0,K152=0),90,IF(AND(K151&lt;0,K152=0),270,IF(AND(K151&gt;=0,K152&gt;0),L154,IF(AND(K151&lt;=0,K152&lt;0),L154+180,IF(AND(K151&lt;0,K152&gt;0),360-L154,180-L154))))))</f>
        <v>265.1109125499018</v>
      </c>
      <c r="M155" s="492">
        <f>IF(AH27&lt;&gt;"",SQRT((M151*COS(RADIANS(AH53)))^2+M152^2),SQRT((M151*COS(RADIANS(S53)))^2+M152^2))</f>
        <v>2.0053919328795935</v>
      </c>
    </row>
    <row r="156" spans="2:9" ht="12.75">
      <c r="B156" s="108" t="s">
        <v>108</v>
      </c>
      <c r="C156" s="127" t="s">
        <v>105</v>
      </c>
      <c r="D156" s="128" t="s">
        <v>111</v>
      </c>
      <c r="E156" s="128" t="s">
        <v>125</v>
      </c>
      <c r="F156" s="127" t="s">
        <v>119</v>
      </c>
      <c r="G156" s="127" t="s">
        <v>122</v>
      </c>
      <c r="H156" s="127" t="s">
        <v>128</v>
      </c>
      <c r="I156" s="129" t="s">
        <v>129</v>
      </c>
    </row>
    <row r="157" spans="2:9" ht="12.75">
      <c r="B157" s="118"/>
      <c r="C157" s="123">
        <f>IF((D49-S49)&lt;0,S49-D49,D49-S49)</f>
        <v>45.10375769204924</v>
      </c>
      <c r="D157" s="123">
        <f>IF(C157&gt;180,360-C157,C157)</f>
        <v>45.10375769204924</v>
      </c>
      <c r="E157" s="124">
        <f>IF(D157&gt;90,180-D157,D157)</f>
        <v>45.10375769204924</v>
      </c>
      <c r="F157" s="130">
        <f>(1/SIN(RADIANS(E157)))*SQRT(2*($C$165^2/3+$C$166^2)+$C$167^2*($C$163^2+$C$164^2))</f>
        <v>2.7517222354572763</v>
      </c>
      <c r="G157" s="130">
        <f>1/F157^2</f>
        <v>0.13206593596997676</v>
      </c>
      <c r="H157" s="131">
        <f>(J119-D119)/(D118-J118)</f>
        <v>2.0025005202166404</v>
      </c>
      <c r="I157" s="132">
        <f>D118*H157+D119</f>
        <v>-0.3808118475654314</v>
      </c>
    </row>
    <row r="158" spans="2:9" ht="12.75">
      <c r="B158" s="118" t="s">
        <v>109</v>
      </c>
      <c r="C158" s="18" t="s">
        <v>106</v>
      </c>
      <c r="D158" s="119" t="s">
        <v>112</v>
      </c>
      <c r="E158" s="119" t="s">
        <v>126</v>
      </c>
      <c r="F158" s="18" t="s">
        <v>121</v>
      </c>
      <c r="G158" s="18" t="s">
        <v>123</v>
      </c>
      <c r="H158" s="18" t="s">
        <v>130</v>
      </c>
      <c r="I158" s="133" t="s">
        <v>132</v>
      </c>
    </row>
    <row r="159" spans="2:9" ht="12.75">
      <c r="B159" s="118"/>
      <c r="C159" s="123">
        <f>IF((S49-AH49)&lt;0,AH49-S49,S49-AH49)</f>
        <v>26.374437912585392</v>
      </c>
      <c r="D159" s="123">
        <f>IF(C159&gt;180,360-C159,C159)</f>
        <v>26.374437912585392</v>
      </c>
      <c r="E159" s="124">
        <f>IF(D159&gt;90,180-D159,D159)</f>
        <v>26.374437912585392</v>
      </c>
      <c r="F159" s="130">
        <f>(1/SIN(RADIANS(E159)))*SQRT(2*($C$165^2/3+$C$166^2)+$C$167^2*$C$164^2)</f>
        <v>4.148399885303032</v>
      </c>
      <c r="G159" s="130">
        <f>1/F159^2</f>
        <v>0.058108380655225174</v>
      </c>
      <c r="H159" s="131">
        <f>(P119-J119)/(J118-P118)</f>
        <v>-7.477426684466675</v>
      </c>
      <c r="I159" s="132">
        <f>J118*H159+J119</f>
        <v>5.7541190293079465</v>
      </c>
    </row>
    <row r="160" spans="2:9" ht="12.75">
      <c r="B160" s="118" t="s">
        <v>110</v>
      </c>
      <c r="C160" s="18" t="s">
        <v>107</v>
      </c>
      <c r="D160" s="119" t="s">
        <v>113</v>
      </c>
      <c r="E160" s="119" t="s">
        <v>127</v>
      </c>
      <c r="F160" s="18" t="s">
        <v>120</v>
      </c>
      <c r="G160" s="18" t="s">
        <v>124</v>
      </c>
      <c r="H160" s="18" t="s">
        <v>131</v>
      </c>
      <c r="I160" s="133" t="s">
        <v>133</v>
      </c>
    </row>
    <row r="161" spans="2:9" ht="12.75">
      <c r="B161" s="19"/>
      <c r="C161" s="134">
        <f>IF((D49-AH49)&lt;0,AH49-D49,D49-AH49)</f>
        <v>71.47819560463464</v>
      </c>
      <c r="D161" s="134">
        <f>IF(C161&gt;180,360-C161,C161)</f>
        <v>71.47819560463464</v>
      </c>
      <c r="E161" s="135">
        <f>IF(D161&gt;90,180-D161,D161)</f>
        <v>71.47819560463464</v>
      </c>
      <c r="F161" s="136">
        <f>(1/SIN(RADIANS(E161)))*SQRT(2*($C$165^2/3+$C$166^2)+$C$167^2*$C$163^2)</f>
        <v>2.0273011566611006</v>
      </c>
      <c r="G161" s="136">
        <f>1/F161^2</f>
        <v>0.24331196362852073</v>
      </c>
      <c r="H161" s="137">
        <f>(P119-D119)/(D118-P118)</f>
        <v>-3.1683960827584365</v>
      </c>
      <c r="I161" s="138">
        <f>D118*H161+D119</f>
        <v>-1.4983127386443749</v>
      </c>
    </row>
    <row r="162" ht="12.75">
      <c r="E162" s="115"/>
    </row>
    <row r="163" spans="2:8" ht="12.75">
      <c r="B163" s="94" t="s">
        <v>116</v>
      </c>
      <c r="C163" s="122">
        <f>AH56-D56</f>
        <v>2.5410000000000004</v>
      </c>
      <c r="E163" s="83" t="s">
        <v>137</v>
      </c>
      <c r="H163" s="83" t="s">
        <v>140</v>
      </c>
    </row>
    <row r="164" spans="2:9" ht="12.75">
      <c r="B164" s="94" t="s">
        <v>115</v>
      </c>
      <c r="C164" s="122">
        <f>AH56-S56</f>
        <v>1.2929999999999993</v>
      </c>
      <c r="E164" s="14" t="s">
        <v>134</v>
      </c>
      <c r="F164" s="120">
        <f>SQRT((H157-H159)^2+(I157-I159)^2)</f>
        <v>11.291873036396982</v>
      </c>
      <c r="H164" s="14" t="s">
        <v>142</v>
      </c>
      <c r="I164" s="120">
        <f>SQRT((F167-H161)^2+(F168-I161)^2)</f>
        <v>3.7582814368286366</v>
      </c>
    </row>
    <row r="165" spans="2:9" ht="12.75">
      <c r="B165" s="94" t="s">
        <v>114</v>
      </c>
      <c r="C165" s="121">
        <v>0.5</v>
      </c>
      <c r="E165" s="14" t="s">
        <v>135</v>
      </c>
      <c r="F165" s="120">
        <f>G159*F164/(G157+G159)</f>
        <v>3.4502685134006983</v>
      </c>
      <c r="H165" s="14" t="s">
        <v>141</v>
      </c>
      <c r="I165" s="120">
        <f>G161*I164/(G161+F169)</f>
        <v>2.109489683798455</v>
      </c>
    </row>
    <row r="166" spans="2:9" ht="12.75">
      <c r="B166" s="94" t="s">
        <v>117</v>
      </c>
      <c r="C166" s="121">
        <v>1.25</v>
      </c>
      <c r="E166" s="14" t="s">
        <v>136</v>
      </c>
      <c r="F166" s="120">
        <f>F164-F165</f>
        <v>7.841604522996284</v>
      </c>
      <c r="H166" s="14" t="s">
        <v>143</v>
      </c>
      <c r="I166" s="120">
        <f>I164-I165</f>
        <v>1.6487917530301814</v>
      </c>
    </row>
    <row r="167" spans="2:9" ht="12.75">
      <c r="B167" s="14" t="s">
        <v>118</v>
      </c>
      <c r="C167" s="121">
        <v>0.25</v>
      </c>
      <c r="E167" s="14" t="s">
        <v>138</v>
      </c>
      <c r="F167" s="78">
        <f>H157-F165*(H157-H159)/F164</f>
        <v>-0.8941220541092685</v>
      </c>
      <c r="H167" s="14" t="s">
        <v>144</v>
      </c>
      <c r="I167" s="536">
        <f>F167-I165*(F167-H161)/I164</f>
        <v>-2.170651681335513</v>
      </c>
    </row>
    <row r="168" spans="5:9" ht="12.75">
      <c r="E168" s="14" t="s">
        <v>139</v>
      </c>
      <c r="F168" s="78">
        <f>I157-F165*(I157-I159)/F164</f>
        <v>1.4937362250296164</v>
      </c>
      <c r="H168" s="14" t="s">
        <v>145</v>
      </c>
      <c r="I168" s="536">
        <f>F168-I165*(F168-I161)/I164</f>
        <v>-0.1856740395769012</v>
      </c>
    </row>
    <row r="169" spans="5:9" ht="12.75">
      <c r="E169" s="14" t="s">
        <v>146</v>
      </c>
      <c r="F169" s="125">
        <f>G157+G159</f>
        <v>0.19017431662520193</v>
      </c>
      <c r="H169" s="14" t="s">
        <v>149</v>
      </c>
      <c r="I169" s="125">
        <f>F169+G161</f>
        <v>0.43348628025372266</v>
      </c>
    </row>
    <row r="172" spans="4:8" ht="12.75">
      <c r="D172" s="94" t="s">
        <v>101</v>
      </c>
      <c r="E172">
        <f>AH53+I167*COS(RADIANS(SIGN($AH$53)*$AH$53))/60</f>
        <v>22.9666984098696</v>
      </c>
      <c r="F172" s="117">
        <f>INT(SIGN($E$172)*$E$172)</f>
        <v>22</v>
      </c>
      <c r="G172" s="59">
        <f>(SIGN($E$172)*$E$172-INT(SIGN($E$172)*$E$172))*60</f>
        <v>58.00190459217603</v>
      </c>
      <c r="H172" t="str">
        <f>IF($E$172&gt;=0,"N","S")</f>
        <v>N</v>
      </c>
    </row>
    <row r="173" spans="4:8" ht="12.75">
      <c r="D173" s="94" t="s">
        <v>100</v>
      </c>
      <c r="E173" s="126">
        <f>AH54+I168/60</f>
        <v>-88.50309456732629</v>
      </c>
      <c r="F173" s="117">
        <f>INT(SIGN($E$173)*$E$173)</f>
        <v>88</v>
      </c>
      <c r="G173" s="59">
        <f>(SIGN($E$173)*$E$173-INT(SIGN($E$173)*$E$173))*60</f>
        <v>30.18567403957718</v>
      </c>
      <c r="H173" t="str">
        <f>IF($E$173&gt;=0,"E","W")</f>
        <v>W</v>
      </c>
    </row>
    <row r="175" ht="12.75">
      <c r="B175" s="68" t="s">
        <v>150</v>
      </c>
    </row>
    <row r="177" spans="2:3" ht="12.75">
      <c r="B177" s="77" t="s">
        <v>151</v>
      </c>
      <c r="C177">
        <f>IF($AH$27=0,C150,I167)</f>
        <v>-2.170651681335513</v>
      </c>
    </row>
    <row r="178" spans="2:3" ht="12.75">
      <c r="B178" s="77" t="s">
        <v>152</v>
      </c>
      <c r="C178">
        <f>IF($AH$27=0,C151,I168)</f>
        <v>-0.1856740395769012</v>
      </c>
    </row>
  </sheetData>
  <mergeCells count="1">
    <mergeCell ref="Y6:Z6"/>
  </mergeCells>
  <conditionalFormatting sqref="C52">
    <cfRule type="expression" priority="1" dxfId="0" stopIfTrue="1">
      <formula>AH27=31</formula>
    </cfRule>
  </conditionalFormatting>
  <printOptions horizontalCentered="1"/>
  <pageMargins left="0.984251968503937" right="0.3937007874015748" top="0.5905511811023623" bottom="0.5905511811023623" header="0" footer="0"/>
  <pageSetup fitToHeight="1" fitToWidth="1" horizontalDpi="300" verticalDpi="3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33"/>
  <sheetViews>
    <sheetView showRowColHeaders="0" workbookViewId="0" topLeftCell="A1">
      <selection activeCell="J2" sqref="J2"/>
    </sheetView>
  </sheetViews>
  <sheetFormatPr defaultColWidth="9.00390625" defaultRowHeight="12.75"/>
  <cols>
    <col min="1" max="1" width="9.125" style="495" customWidth="1"/>
    <col min="2" max="2" width="6.75390625" style="498" customWidth="1"/>
    <col min="3" max="3" width="8.625" style="498" customWidth="1"/>
    <col min="4" max="4" width="6.75390625" style="498" customWidth="1"/>
    <col min="5" max="5" width="5.625" style="498" customWidth="1"/>
    <col min="6" max="6" width="6.75390625" style="498" customWidth="1"/>
    <col min="7" max="7" width="8.875" style="498" customWidth="1"/>
    <col min="8" max="8" width="6.75390625" style="498" customWidth="1"/>
    <col min="9" max="9" width="6.125" style="498" customWidth="1"/>
    <col min="10" max="10" width="6.75390625" style="498" customWidth="1"/>
    <col min="11" max="11" width="9.00390625" style="498" customWidth="1"/>
    <col min="12" max="12" width="6.75390625" style="498" customWidth="1"/>
    <col min="13" max="16384" width="9.125" style="498" customWidth="1"/>
  </cols>
  <sheetData>
    <row r="1" spans="1:12" ht="16.5" thickBot="1">
      <c r="A1" s="494" t="s">
        <v>381</v>
      </c>
      <c r="B1" s="545">
        <v>36791</v>
      </c>
      <c r="C1" s="546"/>
      <c r="D1" s="543" t="s">
        <v>382</v>
      </c>
      <c r="E1" s="544"/>
      <c r="F1" s="544"/>
      <c r="G1" s="544"/>
      <c r="H1" s="540" t="s">
        <v>383</v>
      </c>
      <c r="I1" s="542"/>
      <c r="J1" s="542" t="s">
        <v>400</v>
      </c>
      <c r="K1" s="542"/>
      <c r="L1" s="541"/>
    </row>
    <row r="2" ht="16.5" thickBot="1"/>
    <row r="3" spans="1:12" ht="16.5" thickBot="1">
      <c r="A3" s="495" t="s">
        <v>384</v>
      </c>
      <c r="B3" s="499">
        <f>Sun!I20</f>
        <v>17</v>
      </c>
      <c r="C3" s="500">
        <f>Sun!J20</f>
        <v>21</v>
      </c>
      <c r="D3" s="501">
        <f>Sun!K20</f>
        <v>54</v>
      </c>
      <c r="E3" s="495"/>
      <c r="F3" s="499">
        <f>Sun!I21</f>
        <v>18</v>
      </c>
      <c r="G3" s="500">
        <f>Sun!J21</f>
        <v>36</v>
      </c>
      <c r="H3" s="501">
        <f>Sun!K21</f>
        <v>45</v>
      </c>
      <c r="I3" s="496"/>
      <c r="J3" s="499">
        <f>Sun!I22</f>
        <v>19</v>
      </c>
      <c r="K3" s="500">
        <f>Sun!J22</f>
        <v>54</v>
      </c>
      <c r="L3" s="501">
        <f>Sun!K22</f>
        <v>22</v>
      </c>
    </row>
    <row r="4" spans="2:12" ht="21" customHeight="1" thickBot="1"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</row>
    <row r="5" spans="1:12" ht="16.5" thickBot="1">
      <c r="A5" s="495" t="s">
        <v>385</v>
      </c>
      <c r="B5" s="502">
        <f>Sun!C20</f>
        <v>23</v>
      </c>
      <c r="C5" s="503">
        <f>Sun!D20</f>
        <v>0</v>
      </c>
      <c r="D5" s="497" t="str">
        <f>Sun!E20</f>
        <v>N</v>
      </c>
      <c r="E5" s="495"/>
      <c r="F5" s="502">
        <f>Sun!C21</f>
        <v>23</v>
      </c>
      <c r="G5" s="503">
        <f>Sun!D21</f>
        <v>0</v>
      </c>
      <c r="H5" s="497" t="str">
        <f>Sun!E21</f>
        <v>N</v>
      </c>
      <c r="I5" s="495"/>
      <c r="J5" s="502">
        <f>Sun!C22</f>
        <v>23</v>
      </c>
      <c r="K5" s="503">
        <f>Sun!D22</f>
        <v>0</v>
      </c>
      <c r="L5" s="497" t="str">
        <f>Sun!E22</f>
        <v>N</v>
      </c>
    </row>
    <row r="6" spans="1:12" ht="16.5" thickBot="1">
      <c r="A6" s="495" t="s">
        <v>386</v>
      </c>
      <c r="B6" s="502">
        <f>Sun!F20</f>
        <v>88</v>
      </c>
      <c r="C6" s="503">
        <f>Sun!G20</f>
        <v>0</v>
      </c>
      <c r="D6" s="497" t="str">
        <f>Sun!H20</f>
        <v>W</v>
      </c>
      <c r="E6" s="495"/>
      <c r="F6" s="502">
        <f>Sun!F21</f>
        <v>88</v>
      </c>
      <c r="G6" s="503">
        <f>Sun!G21</f>
        <v>0</v>
      </c>
      <c r="H6" s="497" t="str">
        <f>Sun!H21</f>
        <v>W</v>
      </c>
      <c r="I6" s="495"/>
      <c r="J6" s="502">
        <f>Sun!F22</f>
        <v>88</v>
      </c>
      <c r="K6" s="503">
        <f>Sun!G22</f>
        <v>30</v>
      </c>
      <c r="L6" s="497" t="str">
        <f>Sun!H22</f>
        <v>W</v>
      </c>
    </row>
    <row r="7" spans="2:12" ht="19.5" customHeight="1"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2:12" ht="19.5" customHeight="1" thickBot="1"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</row>
    <row r="9" spans="1:12" ht="16.5" thickBot="1">
      <c r="A9" s="495" t="s">
        <v>387</v>
      </c>
      <c r="B9" s="502">
        <f>Sun!E42</f>
        <v>83</v>
      </c>
      <c r="C9" s="538">
        <f>Sun!F42</f>
        <v>15.060552000006737</v>
      </c>
      <c r="D9" s="539"/>
      <c r="E9" s="496"/>
      <c r="F9" s="502">
        <f>Sun!T42</f>
        <v>101</v>
      </c>
      <c r="G9" s="538">
        <f>Sun!U42</f>
        <v>58.5369839999953</v>
      </c>
      <c r="H9" s="539"/>
      <c r="I9" s="496"/>
      <c r="J9" s="502">
        <f>Sun!AI42</f>
        <v>121</v>
      </c>
      <c r="K9" s="538">
        <f>Sun!AJ42</f>
        <v>22.518732000003183</v>
      </c>
      <c r="L9" s="539"/>
    </row>
    <row r="10" spans="1:12" ht="16.5" thickBot="1">
      <c r="A10" s="495" t="s">
        <v>388</v>
      </c>
      <c r="B10" s="502">
        <f>Sun!E37</f>
        <v>355</v>
      </c>
      <c r="C10" s="538">
        <f>Sun!F37</f>
        <v>15.060552000006737</v>
      </c>
      <c r="D10" s="539"/>
      <c r="E10" s="496"/>
      <c r="F10" s="502">
        <f>Sun!T37</f>
        <v>13</v>
      </c>
      <c r="G10" s="538">
        <f>Sun!U37</f>
        <v>58.5369839999953</v>
      </c>
      <c r="H10" s="539"/>
      <c r="I10" s="496"/>
      <c r="J10" s="502">
        <f>Sun!AI37</f>
        <v>32</v>
      </c>
      <c r="K10" s="538">
        <f>Sun!AJ37</f>
        <v>52.51873200000318</v>
      </c>
      <c r="L10" s="539"/>
    </row>
    <row r="11" spans="1:12" ht="16.5" thickBot="1">
      <c r="A11" s="495" t="s">
        <v>389</v>
      </c>
      <c r="B11" s="502">
        <f>Sun!E43</f>
        <v>0</v>
      </c>
      <c r="C11" s="503">
        <f>Sun!F43</f>
        <v>23.531843918071008</v>
      </c>
      <c r="D11" s="497"/>
      <c r="E11" s="496"/>
      <c r="F11" s="502">
        <f>Sun!T43</f>
        <v>0</v>
      </c>
      <c r="G11" s="503">
        <f>Sun!U43</f>
        <v>22.318551149013743</v>
      </c>
      <c r="H11" s="497"/>
      <c r="I11" s="496"/>
      <c r="J11" s="502">
        <f>Sun!AI43</f>
        <v>0</v>
      </c>
      <c r="K11" s="503">
        <f>Sun!AJ43</f>
        <v>21.08190489186648</v>
      </c>
      <c r="L11" s="497"/>
    </row>
    <row r="12" spans="2:12" ht="20.25" customHeight="1"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</row>
    <row r="13" spans="2:12" ht="19.5" customHeight="1" thickBot="1"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</row>
    <row r="14" spans="1:12" ht="16.5" thickBot="1">
      <c r="A14" s="495" t="s">
        <v>390</v>
      </c>
      <c r="B14" s="504">
        <f>Sun!$L$20</f>
        <v>66</v>
      </c>
      <c r="C14" s="538">
        <f>Sun!$M$20</f>
        <v>49.2</v>
      </c>
      <c r="D14" s="539"/>
      <c r="E14" s="496"/>
      <c r="F14" s="504">
        <f>Sun!$L$21</f>
        <v>63</v>
      </c>
      <c r="G14" s="538">
        <f>Sun!$M$21</f>
        <v>28.8</v>
      </c>
      <c r="H14" s="539"/>
      <c r="I14" s="496"/>
      <c r="J14" s="504">
        <f>Sun!$L$22</f>
        <v>50</v>
      </c>
      <c r="K14" s="538">
        <f>Sun!$M$22</f>
        <v>47.4</v>
      </c>
      <c r="L14" s="539"/>
    </row>
    <row r="15" spans="1:12" ht="16.5" thickBot="1">
      <c r="A15" s="495" t="s">
        <v>304</v>
      </c>
      <c r="B15" s="505"/>
      <c r="C15" s="550">
        <f>Sun!$D$12</f>
        <v>0.1</v>
      </c>
      <c r="D15" s="551"/>
      <c r="E15" s="496"/>
      <c r="F15" s="505"/>
      <c r="G15" s="550">
        <f>Sun!$D$12</f>
        <v>0.1</v>
      </c>
      <c r="H15" s="551"/>
      <c r="I15" s="496"/>
      <c r="J15" s="494"/>
      <c r="K15" s="550">
        <f>Sun!$D$12</f>
        <v>0.1</v>
      </c>
      <c r="L15" s="551"/>
    </row>
    <row r="16" spans="1:12" ht="16.5" thickBot="1">
      <c r="A16" s="495" t="s">
        <v>391</v>
      </c>
      <c r="B16" s="505"/>
      <c r="C16" s="550">
        <f>-1.76*SQRT(Sun!$D$9)</f>
        <v>-8.622203894596787</v>
      </c>
      <c r="D16" s="551"/>
      <c r="E16" s="496"/>
      <c r="F16" s="506"/>
      <c r="G16" s="550">
        <f>-1.76*SQRT(Sun!$D$9)</f>
        <v>-8.622203894596787</v>
      </c>
      <c r="H16" s="551"/>
      <c r="I16" s="496"/>
      <c r="J16" s="505"/>
      <c r="K16" s="550">
        <f>-1.76*SQRT(Sun!$D$9)</f>
        <v>-8.622203894596787</v>
      </c>
      <c r="L16" s="551"/>
    </row>
    <row r="17" spans="1:12" ht="16.5" thickBot="1">
      <c r="A17" s="495" t="s">
        <v>392</v>
      </c>
      <c r="B17" s="505"/>
      <c r="C17" s="550">
        <f>Sun!I33</f>
        <v>15.9</v>
      </c>
      <c r="D17" s="551"/>
      <c r="E17" s="496"/>
      <c r="F17" s="505"/>
      <c r="G17" s="550">
        <f>Sun!X33</f>
        <v>15.9</v>
      </c>
      <c r="H17" s="551"/>
      <c r="I17" s="496"/>
      <c r="J17" s="505"/>
      <c r="K17" s="550">
        <f>Sun!AM33</f>
        <v>15.9</v>
      </c>
      <c r="L17" s="551"/>
    </row>
    <row r="18" spans="1:12" ht="16.5" thickBot="1">
      <c r="A18" s="495" t="s">
        <v>393</v>
      </c>
      <c r="B18" s="504">
        <f>Sun!E45</f>
        <v>66</v>
      </c>
      <c r="C18" s="538">
        <f>Sun!F45</f>
        <v>56.2777961054033</v>
      </c>
      <c r="D18" s="539"/>
      <c r="E18" s="496"/>
      <c r="F18" s="504">
        <f>Sun!T45</f>
        <v>63</v>
      </c>
      <c r="G18" s="538">
        <f>Sun!U45</f>
        <v>35.77779610540318</v>
      </c>
      <c r="H18" s="539"/>
      <c r="I18" s="496"/>
      <c r="J18" s="504">
        <f>Sun!AI45</f>
        <v>50</v>
      </c>
      <c r="K18" s="538">
        <f>Sun!AJ45</f>
        <v>54.077796105403166</v>
      </c>
      <c r="L18" s="539"/>
    </row>
    <row r="19" spans="2:12" ht="21" customHeight="1" thickBot="1"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</row>
    <row r="20" spans="1:12" ht="16.5" thickBot="1">
      <c r="A20" s="495" t="s">
        <v>393</v>
      </c>
      <c r="B20" s="504">
        <f>B18</f>
        <v>66</v>
      </c>
      <c r="C20" s="538">
        <f>C18</f>
        <v>56.2777961054033</v>
      </c>
      <c r="D20" s="539"/>
      <c r="E20" s="496"/>
      <c r="F20" s="504">
        <f>F18</f>
        <v>63</v>
      </c>
      <c r="G20" s="538">
        <f>G18</f>
        <v>35.77779610540318</v>
      </c>
      <c r="H20" s="539"/>
      <c r="I20" s="496"/>
      <c r="J20" s="504">
        <f>J18</f>
        <v>50</v>
      </c>
      <c r="K20" s="538">
        <f>K18</f>
        <v>54.077796105403166</v>
      </c>
      <c r="L20" s="539"/>
    </row>
    <row r="21" spans="1:12" ht="16.5" thickBot="1">
      <c r="A21" s="495" t="s">
        <v>394</v>
      </c>
      <c r="B21" s="504">
        <f>Sun!E46</f>
        <v>66</v>
      </c>
      <c r="C21" s="538">
        <f>Sun!F46</f>
        <v>55.545791444484394</v>
      </c>
      <c r="D21" s="539"/>
      <c r="E21" s="496"/>
      <c r="F21" s="504">
        <f>Sun!T46</f>
        <v>63</v>
      </c>
      <c r="G21" s="538">
        <f>Sun!U46</f>
        <v>36.484986367813406</v>
      </c>
      <c r="H21" s="539"/>
      <c r="I21" s="496"/>
      <c r="J21" s="504">
        <f>Sun!AI46</f>
        <v>50</v>
      </c>
      <c r="K21" s="538">
        <f>Sun!AJ46</f>
        <v>50.865961670133686</v>
      </c>
      <c r="L21" s="539"/>
    </row>
    <row r="22" spans="1:12" ht="16.5" thickBot="1">
      <c r="A22" s="495" t="s">
        <v>395</v>
      </c>
      <c r="B22" s="504">
        <f>Sun!E47</f>
        <v>0</v>
      </c>
      <c r="C22" s="538">
        <f>Sun!F47</f>
        <v>0.7320046609189035</v>
      </c>
      <c r="D22" s="539"/>
      <c r="E22" s="496"/>
      <c r="F22" s="504" t="str">
        <f>Sun!T47</f>
        <v>-0°</v>
      </c>
      <c r="G22" s="538">
        <f>Sun!U47</f>
        <v>0.7071902624102222</v>
      </c>
      <c r="H22" s="539"/>
      <c r="I22" s="496"/>
      <c r="J22" s="504">
        <f>Sun!AI47</f>
        <v>0</v>
      </c>
      <c r="K22" s="538">
        <f>Sun!AJ47</f>
        <v>3.2118344352694805</v>
      </c>
      <c r="L22" s="539"/>
    </row>
    <row r="23" spans="1:12" ht="16.5" thickBot="1">
      <c r="A23" s="495" t="s">
        <v>396</v>
      </c>
      <c r="B23" s="547">
        <f>Sun!D49</f>
        <v>167.80515028219386</v>
      </c>
      <c r="C23" s="548"/>
      <c r="D23" s="549"/>
      <c r="E23" s="496"/>
      <c r="F23" s="547">
        <f>Sun!S49</f>
        <v>212.9089079742431</v>
      </c>
      <c r="G23" s="548"/>
      <c r="H23" s="549"/>
      <c r="I23" s="496"/>
      <c r="J23" s="547">
        <f>Sun!AH49</f>
        <v>239.2833458868285</v>
      </c>
      <c r="K23" s="548">
        <f>Sun!AH49</f>
        <v>239.2833458868285</v>
      </c>
      <c r="L23" s="549"/>
    </row>
    <row r="24" spans="2:12" ht="15.75"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</row>
    <row r="25" spans="2:12" ht="16.5" thickBot="1"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</row>
    <row r="26" spans="2:12" ht="16.5" thickBot="1">
      <c r="B26" s="507"/>
      <c r="C26" s="507"/>
      <c r="D26" s="507"/>
      <c r="E26" s="507"/>
      <c r="F26" s="507"/>
      <c r="G26" s="507"/>
      <c r="H26" s="540" t="s">
        <v>397</v>
      </c>
      <c r="I26" s="541"/>
      <c r="J26" s="504"/>
      <c r="K26" s="538"/>
      <c r="L26" s="539"/>
    </row>
    <row r="27" spans="2:12" ht="16.5" thickBot="1">
      <c r="B27" s="507"/>
      <c r="C27" s="507"/>
      <c r="D27" s="507"/>
      <c r="E27" s="507"/>
      <c r="F27" s="507"/>
      <c r="G27" s="507"/>
      <c r="H27" s="540" t="s">
        <v>398</v>
      </c>
      <c r="I27" s="541"/>
      <c r="J27" s="504"/>
      <c r="K27" s="538"/>
      <c r="L27" s="539"/>
    </row>
    <row r="28" spans="2:12" ht="15.75">
      <c r="B28" s="507"/>
      <c r="C28" s="507"/>
      <c r="D28" s="507"/>
      <c r="E28" s="507"/>
      <c r="F28" s="507"/>
      <c r="G28" s="507"/>
      <c r="H28" s="507"/>
      <c r="I28" s="507"/>
      <c r="J28" s="507"/>
      <c r="K28" s="507"/>
      <c r="L28" s="507"/>
    </row>
    <row r="29" spans="2:12" ht="15.75">
      <c r="B29" s="507"/>
      <c r="C29" s="507"/>
      <c r="D29" s="507"/>
      <c r="E29" s="507"/>
      <c r="F29" s="507"/>
      <c r="G29" s="507"/>
      <c r="H29" s="507"/>
      <c r="I29" s="507"/>
      <c r="J29" s="507"/>
      <c r="K29" s="507"/>
      <c r="L29" s="507"/>
    </row>
    <row r="30" spans="2:12" ht="15.75"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</row>
    <row r="31" spans="2:12" ht="15.75"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</row>
    <row r="32" spans="2:12" ht="15.75"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</row>
    <row r="33" spans="2:12" ht="15.75"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</row>
  </sheetData>
  <mergeCells count="41">
    <mergeCell ref="K18:L18"/>
    <mergeCell ref="K14:L14"/>
    <mergeCell ref="K15:L15"/>
    <mergeCell ref="K16:L16"/>
    <mergeCell ref="K17:L17"/>
    <mergeCell ref="C18:D18"/>
    <mergeCell ref="G14:H14"/>
    <mergeCell ref="G15:H15"/>
    <mergeCell ref="G16:H16"/>
    <mergeCell ref="G17:H17"/>
    <mergeCell ref="G18:H18"/>
    <mergeCell ref="C14:D14"/>
    <mergeCell ref="C15:D15"/>
    <mergeCell ref="C16:D16"/>
    <mergeCell ref="C17:D17"/>
    <mergeCell ref="K9:L9"/>
    <mergeCell ref="K10:L10"/>
    <mergeCell ref="F23:H23"/>
    <mergeCell ref="G22:H22"/>
    <mergeCell ref="G21:H21"/>
    <mergeCell ref="G20:H20"/>
    <mergeCell ref="K20:L20"/>
    <mergeCell ref="K21:L21"/>
    <mergeCell ref="K22:L22"/>
    <mergeCell ref="J23:L23"/>
    <mergeCell ref="C9:D9"/>
    <mergeCell ref="C10:D10"/>
    <mergeCell ref="G9:H9"/>
    <mergeCell ref="G10:H10"/>
    <mergeCell ref="B23:D23"/>
    <mergeCell ref="C22:D22"/>
    <mergeCell ref="C20:D20"/>
    <mergeCell ref="C21:D21"/>
    <mergeCell ref="H1:I1"/>
    <mergeCell ref="J1:L1"/>
    <mergeCell ref="D1:G1"/>
    <mergeCell ref="B1:C1"/>
    <mergeCell ref="K26:L26"/>
    <mergeCell ref="K27:L27"/>
    <mergeCell ref="H26:I26"/>
    <mergeCell ref="H27:I27"/>
  </mergeCells>
  <printOptions/>
  <pageMargins left="0.7874015748031497" right="0.3937007874015748" top="0.3937007874015748" bottom="0.3937007874015748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DG247"/>
  <sheetViews>
    <sheetView tabSelected="1" zoomScale="95" zoomScaleNormal="95" workbookViewId="0" topLeftCell="A1">
      <selection activeCell="D73" sqref="D73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0.00390625" style="0" customWidth="1"/>
    <col min="4" max="4" width="12.125" style="0" customWidth="1"/>
    <col min="5" max="5" width="9.25390625" style="0" customWidth="1"/>
    <col min="6" max="6" width="11.75390625" style="0" customWidth="1"/>
    <col min="7" max="11" width="9.25390625" style="0" customWidth="1"/>
    <col min="12" max="12" width="11.125" style="0" customWidth="1"/>
    <col min="13" max="16" width="9.25390625" style="0" customWidth="1"/>
    <col min="17" max="17" width="10.375" style="0" customWidth="1"/>
    <col min="18" max="18" width="11.125" style="0" customWidth="1"/>
    <col min="19" max="19" width="11.00390625" style="0" customWidth="1"/>
    <col min="20" max="20" width="9.625" style="0" customWidth="1"/>
    <col min="21" max="21" width="10.125" style="0" customWidth="1"/>
    <col min="24" max="24" width="11.25390625" style="0" customWidth="1"/>
    <col min="25" max="26" width="9.25390625" style="0" customWidth="1"/>
    <col min="30" max="30" width="11.00390625" style="0" customWidth="1"/>
    <col min="34" max="34" width="10.75390625" style="0" customWidth="1"/>
    <col min="36" max="36" width="10.375" style="0" customWidth="1"/>
    <col min="51" max="51" width="10.125" style="0" customWidth="1"/>
    <col min="66" max="66" width="10.75390625" style="0" customWidth="1"/>
    <col min="79" max="79" width="10.00390625" style="0" customWidth="1"/>
    <col min="81" max="81" width="10.75390625" style="0" customWidth="1"/>
    <col min="102" max="102" width="10.75390625" style="0" customWidth="1"/>
    <col min="103" max="107" width="13.125" style="0" customWidth="1"/>
    <col min="110" max="110" width="11.625" style="0" customWidth="1"/>
  </cols>
  <sheetData>
    <row r="1" spans="2:15" ht="12.75">
      <c r="B1" s="68" t="s">
        <v>335</v>
      </c>
      <c r="O1" s="68" t="s">
        <v>318</v>
      </c>
    </row>
    <row r="2" spans="7:111" ht="13.5" thickBot="1">
      <c r="G2" s="77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</row>
    <row r="3" spans="2:111" ht="14.25" thickBot="1" thickTop="1">
      <c r="B3" s="293"/>
      <c r="C3" s="329" t="s">
        <v>1</v>
      </c>
      <c r="D3" s="319">
        <v>26</v>
      </c>
      <c r="E3" s="296">
        <v>4</v>
      </c>
      <c r="F3" s="301">
        <v>1999</v>
      </c>
      <c r="G3" s="14"/>
      <c r="H3" s="225" t="s">
        <v>368</v>
      </c>
      <c r="I3" s="226"/>
      <c r="J3" s="226"/>
      <c r="K3" s="227"/>
      <c r="O3" s="68" t="s">
        <v>0</v>
      </c>
      <c r="CW3" s="436"/>
      <c r="CX3" s="224"/>
      <c r="CY3" s="224"/>
      <c r="CZ3" s="224"/>
      <c r="DA3" s="224"/>
      <c r="DB3" s="224"/>
      <c r="DC3" s="224"/>
      <c r="DD3" s="224"/>
      <c r="DE3" s="224"/>
      <c r="DF3" s="224"/>
      <c r="DG3" s="224"/>
    </row>
    <row r="4" spans="2:111" ht="14.25" thickBot="1" thickTop="1">
      <c r="B4" s="294"/>
      <c r="C4" s="330" t="s">
        <v>2</v>
      </c>
      <c r="D4" s="320">
        <v>20</v>
      </c>
      <c r="E4" s="297">
        <v>30</v>
      </c>
      <c r="F4" s="290"/>
      <c r="G4" s="14"/>
      <c r="H4" s="228"/>
      <c r="I4" s="224"/>
      <c r="J4" s="224"/>
      <c r="K4" s="229"/>
      <c r="O4" s="293"/>
      <c r="P4" s="329" t="s">
        <v>1</v>
      </c>
      <c r="Q4" s="332">
        <v>2</v>
      </c>
      <c r="R4" s="307">
        <v>12</v>
      </c>
      <c r="S4" s="308">
        <v>1999</v>
      </c>
      <c r="T4" s="83" t="s">
        <v>334</v>
      </c>
      <c r="U4" s="249">
        <f>CB47</f>
        <v>-42</v>
      </c>
      <c r="V4" s="250">
        <f>CC47</f>
        <v>42.81588503256003</v>
      </c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</row>
    <row r="5" spans="2:111" ht="13.5" thickTop="1">
      <c r="B5" s="294"/>
      <c r="C5" s="330" t="s">
        <v>366</v>
      </c>
      <c r="D5" s="320">
        <v>21</v>
      </c>
      <c r="E5" s="438">
        <v>30</v>
      </c>
      <c r="F5" s="403" t="s">
        <v>348</v>
      </c>
      <c r="H5" s="452" t="s">
        <v>102</v>
      </c>
      <c r="I5" s="469">
        <f>$P$168</f>
        <v>26</v>
      </c>
      <c r="J5" s="454">
        <f>$Q$168</f>
        <v>8.726050950147766</v>
      </c>
      <c r="K5" s="455" t="str">
        <f>$R$168</f>
        <v>N</v>
      </c>
      <c r="O5" s="294"/>
      <c r="P5" s="330" t="s">
        <v>2</v>
      </c>
      <c r="Q5" s="320">
        <v>23</v>
      </c>
      <c r="R5" s="277">
        <v>0</v>
      </c>
      <c r="S5" s="309">
        <v>0</v>
      </c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</row>
    <row r="6" spans="2:111" ht="12.75">
      <c r="B6" s="294"/>
      <c r="C6" s="330" t="s">
        <v>31</v>
      </c>
      <c r="D6" s="321">
        <v>26</v>
      </c>
      <c r="E6" s="310">
        <v>5.32</v>
      </c>
      <c r="F6" s="298" t="s">
        <v>50</v>
      </c>
      <c r="H6" s="452" t="s">
        <v>103</v>
      </c>
      <c r="I6" s="470">
        <f>$P$167</f>
        <v>20</v>
      </c>
      <c r="J6" s="454">
        <f>$Q$167</f>
        <v>15.774207503454747</v>
      </c>
      <c r="K6" s="455" t="str">
        <f>$R$167</f>
        <v>W</v>
      </c>
      <c r="O6" s="294"/>
      <c r="P6" s="330" t="s">
        <v>31</v>
      </c>
      <c r="Q6" s="321">
        <v>43</v>
      </c>
      <c r="R6" s="310">
        <v>23.4</v>
      </c>
      <c r="S6" s="311" t="s">
        <v>376</v>
      </c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</row>
    <row r="7" spans="2:111" ht="13.5" thickBot="1">
      <c r="B7" s="294"/>
      <c r="C7" s="330" t="s">
        <v>33</v>
      </c>
      <c r="D7" s="322">
        <v>20</v>
      </c>
      <c r="E7" s="299">
        <v>19.8</v>
      </c>
      <c r="F7" s="300" t="s">
        <v>34</v>
      </c>
      <c r="H7" s="467"/>
      <c r="I7" s="471" t="str">
        <f>IF($C$17="","",CONCATENATE(TEXT($K$171,"0"),TEXT($L$171,"000,0°  -  "),TEXT($M$171,"0,00'")))</f>
        <v>C =   046,7° - 4,97'</v>
      </c>
      <c r="J7" s="468"/>
      <c r="K7" s="466"/>
      <c r="O7" s="294"/>
      <c r="P7" s="330" t="s">
        <v>33</v>
      </c>
      <c r="Q7" s="333">
        <v>4</v>
      </c>
      <c r="R7" s="312">
        <v>54.3</v>
      </c>
      <c r="S7" s="313" t="s">
        <v>378</v>
      </c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</row>
    <row r="8" spans="2:111" ht="13.5" thickTop="1">
      <c r="B8" s="294"/>
      <c r="C8" s="330" t="s">
        <v>297</v>
      </c>
      <c r="D8" s="323">
        <v>62</v>
      </c>
      <c r="E8" s="290"/>
      <c r="F8" s="291"/>
      <c r="O8" s="294"/>
      <c r="P8" s="330" t="s">
        <v>321</v>
      </c>
      <c r="Q8" s="334">
        <v>26</v>
      </c>
      <c r="R8" s="290"/>
      <c r="S8" s="291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</row>
    <row r="9" spans="2:111" ht="13.5" thickBot="1">
      <c r="B9" s="294"/>
      <c r="C9" s="330" t="s">
        <v>298</v>
      </c>
      <c r="D9" s="324">
        <v>8.7</v>
      </c>
      <c r="E9" s="292"/>
      <c r="F9" s="240"/>
      <c r="G9" s="412" t="s">
        <v>350</v>
      </c>
      <c r="O9" s="294"/>
      <c r="P9" s="330" t="s">
        <v>319</v>
      </c>
      <c r="Q9" s="334">
        <v>47</v>
      </c>
      <c r="R9" s="292"/>
      <c r="S9" s="240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</row>
    <row r="10" spans="2:111" ht="14.25" thickBot="1" thickTop="1">
      <c r="B10" s="294"/>
      <c r="C10" s="330" t="s">
        <v>299</v>
      </c>
      <c r="D10" s="325">
        <v>15</v>
      </c>
      <c r="E10" s="292"/>
      <c r="G10" s="481"/>
      <c r="H10" s="413" t="s">
        <v>377</v>
      </c>
      <c r="I10" s="405"/>
      <c r="J10" s="405"/>
      <c r="K10" s="414"/>
      <c r="O10" s="294"/>
      <c r="P10" s="330" t="s">
        <v>320</v>
      </c>
      <c r="Q10" s="335">
        <v>-12</v>
      </c>
      <c r="R10" s="306"/>
      <c r="S10" s="245"/>
      <c r="CW10" s="427"/>
      <c r="CX10" s="437"/>
      <c r="CY10" s="427"/>
      <c r="CZ10" s="427"/>
      <c r="DA10" s="427"/>
      <c r="DB10" s="427"/>
      <c r="DC10" s="427"/>
      <c r="DD10" s="427"/>
      <c r="DE10" s="427"/>
      <c r="DF10" s="427"/>
      <c r="DG10" s="427"/>
    </row>
    <row r="11" spans="2:111" ht="14.25" thickBot="1" thickTop="1">
      <c r="B11" s="294"/>
      <c r="C11" s="330" t="s">
        <v>300</v>
      </c>
      <c r="D11" s="326">
        <v>27</v>
      </c>
      <c r="E11" s="292"/>
      <c r="G11" s="482"/>
      <c r="H11" s="415" t="s">
        <v>379</v>
      </c>
      <c r="I11" s="26"/>
      <c r="J11" s="26"/>
      <c r="K11" s="416"/>
      <c r="O11" s="294"/>
      <c r="P11" s="330" t="s">
        <v>323</v>
      </c>
      <c r="Q11" s="336">
        <v>200</v>
      </c>
      <c r="R11" s="314" t="str">
        <f>IF(Q11="","",VLOOKUP(Q11,$B$84:$L$109,5))</f>
        <v>  Полярная</v>
      </c>
      <c r="S11" s="315"/>
      <c r="U11">
        <v>139</v>
      </c>
      <c r="V11">
        <v>146</v>
      </c>
      <c r="CW11" s="423"/>
      <c r="CX11" s="224"/>
      <c r="CY11" s="224"/>
      <c r="CZ11" s="224"/>
      <c r="DA11" s="224"/>
      <c r="DB11" s="224"/>
      <c r="DC11" s="224"/>
      <c r="DD11" s="224"/>
      <c r="DE11" s="224"/>
      <c r="DF11" s="224"/>
      <c r="DG11" s="424"/>
    </row>
    <row r="12" spans="2:111" ht="14.25" thickBot="1" thickTop="1">
      <c r="B12" s="294"/>
      <c r="C12" s="330" t="s">
        <v>301</v>
      </c>
      <c r="D12" s="327">
        <v>760</v>
      </c>
      <c r="E12" s="292"/>
      <c r="G12" s="483" t="s">
        <v>311</v>
      </c>
      <c r="H12" s="417"/>
      <c r="I12" s="418"/>
      <c r="J12" s="418"/>
      <c r="K12" s="419"/>
      <c r="O12" s="295"/>
      <c r="P12" s="331" t="s">
        <v>322</v>
      </c>
      <c r="Q12" s="337">
        <v>0</v>
      </c>
      <c r="R12" s="290"/>
      <c r="S12" s="291"/>
      <c r="CW12" s="423"/>
      <c r="CX12" s="224"/>
      <c r="CY12" s="224"/>
      <c r="CZ12" s="224"/>
      <c r="DA12" s="224"/>
      <c r="DB12" s="224"/>
      <c r="DC12" s="224"/>
      <c r="DD12" s="224"/>
      <c r="DE12" s="224"/>
      <c r="DF12" s="224"/>
      <c r="DG12" s="424"/>
    </row>
    <row r="13" spans="2:111" ht="14.25" thickBot="1" thickTop="1">
      <c r="B13" s="295"/>
      <c r="C13" s="331" t="s">
        <v>49</v>
      </c>
      <c r="D13" s="328">
        <v>0.1</v>
      </c>
      <c r="E13" s="239"/>
      <c r="F13" s="26"/>
      <c r="O13" s="26"/>
      <c r="P13" s="244"/>
      <c r="Q13" s="241"/>
      <c r="R13" s="240"/>
      <c r="S13" s="240"/>
      <c r="CW13" s="423"/>
      <c r="CX13" s="224"/>
      <c r="CY13" s="432" t="s">
        <v>304</v>
      </c>
      <c r="CZ13" s="432" t="s">
        <v>306</v>
      </c>
      <c r="DA13" s="432" t="s">
        <v>309</v>
      </c>
      <c r="DB13" s="432" t="s">
        <v>310</v>
      </c>
      <c r="DC13" s="432" t="s">
        <v>311</v>
      </c>
      <c r="DD13" s="224"/>
      <c r="DE13" s="224"/>
      <c r="DF13" s="224"/>
      <c r="DG13" s="424"/>
    </row>
    <row r="14" spans="3:111" ht="14.25" thickBot="1" thickTop="1">
      <c r="C14" s="14"/>
      <c r="O14" s="68" t="s">
        <v>324</v>
      </c>
      <c r="P14" s="244"/>
      <c r="Q14" s="237"/>
      <c r="R14" s="26"/>
      <c r="S14" s="26"/>
      <c r="CW14" s="423"/>
      <c r="CX14" s="425" t="s">
        <v>351</v>
      </c>
      <c r="CY14" s="446" t="str">
        <f>IF($C$17="","",$D$17)</f>
        <v>  Сириус</v>
      </c>
      <c r="CZ14" s="446" t="str">
        <f>IF($C$18="","",$D$18)</f>
        <v>  Полярная</v>
      </c>
      <c r="DA14" s="446" t="str">
        <f>IF($C$19="","",$D$19)</f>
        <v>  Арктур</v>
      </c>
      <c r="DB14" s="446">
        <f>IF($C$20="","",$D$20)</f>
      </c>
      <c r="DC14" s="446">
        <f>IF($C$21="","",$D$21)</f>
      </c>
      <c r="DD14" s="224"/>
      <c r="DE14" s="435" t="s">
        <v>360</v>
      </c>
      <c r="DF14" s="439" t="str">
        <f>CONCATENATE(TEXT($D$5,"00h "),TEXT($E$5,"00m "))</f>
        <v>21h 30m </v>
      </c>
      <c r="DG14" s="424"/>
    </row>
    <row r="15" spans="2:111" ht="13.5" thickTop="1">
      <c r="B15" s="303"/>
      <c r="C15" s="305" t="s">
        <v>308</v>
      </c>
      <c r="D15" s="256" t="s">
        <v>312</v>
      </c>
      <c r="E15" s="257"/>
      <c r="F15" s="304"/>
      <c r="G15" s="258" t="s">
        <v>4</v>
      </c>
      <c r="H15" s="259"/>
      <c r="I15" s="256" t="s">
        <v>313</v>
      </c>
      <c r="J15" s="257"/>
      <c r="K15" s="260" t="s">
        <v>307</v>
      </c>
      <c r="L15" s="491" t="s">
        <v>82</v>
      </c>
      <c r="M15" s="491" t="s">
        <v>359</v>
      </c>
      <c r="O15" s="251" t="s">
        <v>325</v>
      </c>
      <c r="P15" s="242" t="s">
        <v>326</v>
      </c>
      <c r="Q15" s="242" t="s">
        <v>327</v>
      </c>
      <c r="R15" s="242" t="s">
        <v>332</v>
      </c>
      <c r="S15" s="242" t="s">
        <v>333</v>
      </c>
      <c r="T15" s="242" t="s">
        <v>328</v>
      </c>
      <c r="U15" s="242" t="s">
        <v>329</v>
      </c>
      <c r="V15" s="242" t="s">
        <v>330</v>
      </c>
      <c r="W15" s="243" t="s">
        <v>331</v>
      </c>
      <c r="CW15" s="423"/>
      <c r="CX15" s="425" t="s">
        <v>352</v>
      </c>
      <c r="CY15" s="434" t="str">
        <f>IF($C$17="","",CONCATENATE(TEXT($D$4,"00 h "),TEXT($E$4,"00m ")))</f>
        <v>00h 30m </v>
      </c>
      <c r="CZ15" s="434" t="str">
        <f>IF($C$18="","",CONCATENATE(TEXT($D$4,"00h "),TEXT($E$4,"00m ")))</f>
        <v>20h 30m </v>
      </c>
      <c r="DA15" s="434" t="str">
        <f>IF($C$19="","",CONCATENATE(TEXT($D$4,"00h "),TEXT($E$4,"00m ")))</f>
        <v>20h 30m </v>
      </c>
      <c r="DB15" s="434">
        <f>IF($C$20="","",CONCATENATE(TEXT($D$4,"00h "),TEXT($E$4,"00m ")))</f>
      </c>
      <c r="DC15" s="434">
        <f>IF($C$21="","",CONCATENATE(TEXT($D$4,"00h "),TEXT($E$4,"00m ")))</f>
      </c>
      <c r="DD15" s="224"/>
      <c r="DE15" s="435" t="s">
        <v>365</v>
      </c>
      <c r="DF15" s="440" t="str">
        <f>$F$5</f>
        <v>1E</v>
      </c>
      <c r="DG15" s="424"/>
    </row>
    <row r="16" spans="2:111" ht="13.5" thickBot="1">
      <c r="B16" s="265"/>
      <c r="C16" s="261"/>
      <c r="D16" s="263"/>
      <c r="E16" s="264"/>
      <c r="F16" s="302" t="s">
        <v>302</v>
      </c>
      <c r="G16" s="262" t="s">
        <v>303</v>
      </c>
      <c r="H16" s="262" t="s">
        <v>305</v>
      </c>
      <c r="I16" s="263"/>
      <c r="J16" s="264"/>
      <c r="K16" s="265"/>
      <c r="O16" s="252">
        <f>Q8</f>
        <v>26</v>
      </c>
      <c r="P16" s="253">
        <f>Q9</f>
        <v>47</v>
      </c>
      <c r="Q16" s="253">
        <f>Q8</f>
        <v>26</v>
      </c>
      <c r="R16" s="253">
        <f>CA48</f>
        <v>359.5812304224377</v>
      </c>
      <c r="S16" s="253">
        <f>Q12</f>
        <v>0</v>
      </c>
      <c r="T16" s="254">
        <f>IF((R16-S16)&gt;=180,R16-S16-360,IF((R16-S16)&lt;=-180,R16-S16+360,R16-S16))</f>
        <v>-0.41876957756227284</v>
      </c>
      <c r="U16" s="254">
        <f>IF((O16+T16-P16)&gt;=180,O16+T16-P16-360,IF((O16+T16-P16)&lt;=-180,O16+T16-P16+360,O16+T16-P16))</f>
        <v>-21.418769577562273</v>
      </c>
      <c r="V16" s="254">
        <f>Q10</f>
        <v>-12</v>
      </c>
      <c r="W16" s="255">
        <f>U16-V16</f>
        <v>-9.418769577562273</v>
      </c>
      <c r="CW16" s="423"/>
      <c r="CX16" s="425" t="s">
        <v>353</v>
      </c>
      <c r="CY16" s="448" t="str">
        <f>IF($C$17="","",CONCATENATE(TEXT($D$3,"00."),TEXT($E$3,"00."),TEXT($F$3,"0000")))</f>
        <v>26.04.1999</v>
      </c>
      <c r="CZ16" s="448" t="str">
        <f>IF($C$18="","",CONCATENATE(TEXT($D$3,"00."),TEXT($E$3,"00."),TEXT($F$3,"0000")))</f>
        <v>26.04.1999</v>
      </c>
      <c r="DA16" s="448" t="str">
        <f>IF($C$19="","",CONCATENATE(TEXT($D$3,"00."),TEXT($E$3,"00."),TEXT($F$3,"0000")))</f>
        <v>26.04.1999</v>
      </c>
      <c r="DB16" s="448">
        <f>IF($C$20="","",CONCATENATE(TEXT($D$3,"00."),TEXT($E$3,"00."),TEXT($F$3,"0000")))</f>
      </c>
      <c r="DC16" s="448">
        <f>IF($C$21="","",CONCATENATE(TEXT($D$3,"00."),TEXT($E$3,"00."),TEXT($F$3,"0000")))</f>
      </c>
      <c r="DD16" s="224"/>
      <c r="DE16" s="435" t="s">
        <v>31</v>
      </c>
      <c r="DF16" s="440" t="str">
        <f>CONCATENATE(TEXT($D$6,"00° "),TEXT($E$6,"00,0'  "),TEXT($F$6,"0"))</f>
        <v>26° 05,3' N</v>
      </c>
      <c r="DG16" s="424"/>
    </row>
    <row r="17" spans="2:111" ht="13.5" thickTop="1">
      <c r="B17" s="316" t="s">
        <v>304</v>
      </c>
      <c r="C17" s="266">
        <v>46</v>
      </c>
      <c r="D17" s="267" t="str">
        <f>IF(C17="","",VLOOKUP(C17,$B$84:$L$109,5))</f>
        <v>  Сириус</v>
      </c>
      <c r="E17" s="268"/>
      <c r="F17" s="269">
        <v>20</v>
      </c>
      <c r="G17" s="270">
        <v>27</v>
      </c>
      <c r="H17" s="271">
        <v>0</v>
      </c>
      <c r="I17" s="285">
        <v>32</v>
      </c>
      <c r="J17" s="288">
        <v>33.3</v>
      </c>
      <c r="K17" s="272">
        <v>226</v>
      </c>
      <c r="L17" s="489" t="str">
        <f>IF($C$17="","",CONCATENATE(TEXT($E$48,"0°"),TEXT($F$48," 00,0'")))</f>
        <v>-0° 05,6'</v>
      </c>
      <c r="M17" s="490">
        <f>CY36</f>
        <v>226.30965427320263</v>
      </c>
      <c r="CW17" s="423"/>
      <c r="CX17" s="425"/>
      <c r="CY17" s="433"/>
      <c r="CZ17" s="433"/>
      <c r="DA17" s="433"/>
      <c r="DB17" s="433"/>
      <c r="DC17" s="433"/>
      <c r="DD17" s="224"/>
      <c r="DE17" s="435" t="s">
        <v>33</v>
      </c>
      <c r="DF17" s="440" t="str">
        <f>CONCATENATE(TEXT($D$7,"000° "),TEXT($E$7,"00,0'  "),TEXT($F$7,"0"))</f>
        <v>020° 19,8' W</v>
      </c>
      <c r="DG17" s="424"/>
    </row>
    <row r="18" spans="2:111" ht="12.75">
      <c r="B18" s="317" t="s">
        <v>306</v>
      </c>
      <c r="C18" s="273">
        <v>200</v>
      </c>
      <c r="D18" s="274" t="str">
        <f>IF(C18="","",VLOOKUP(C18,$B$84:$L$109,5))</f>
        <v>  Полярная</v>
      </c>
      <c r="E18" s="275"/>
      <c r="F18" s="276">
        <v>20</v>
      </c>
      <c r="G18" s="277">
        <v>29</v>
      </c>
      <c r="H18" s="278">
        <v>7</v>
      </c>
      <c r="I18" s="286">
        <v>26</v>
      </c>
      <c r="J18" s="289">
        <v>5.2</v>
      </c>
      <c r="K18" s="279">
        <v>359</v>
      </c>
      <c r="L18" s="489" t="str">
        <f>IF($C$18="","",CONCATENATE(TEXT($T$48,"0°"),TEXT($U$48," 00,0'")))</f>
        <v>0° 02,7'</v>
      </c>
      <c r="M18" s="490">
        <f>CZ36</f>
        <v>359.20128357303895</v>
      </c>
      <c r="CW18" s="423"/>
      <c r="CX18" s="425" t="s">
        <v>354</v>
      </c>
      <c r="CY18" s="434" t="str">
        <f>IF($C$17="","",CONCATENATE(TEXT($F$17,"00 h "),TEXT($G$17,"00m "),TEXT($H$17,"00s")))</f>
        <v>00h 27m 00s</v>
      </c>
      <c r="CZ18" s="434" t="str">
        <f>IF($C$18="","",CONCATENATE(TEXT($F$18,"00h "),TEXT($G$18,"00m "),TEXT($H$18,"00s")))</f>
        <v>20h 29m 07s</v>
      </c>
      <c r="DA18" s="434" t="str">
        <f>IF($C$19="","",CONCATENATE(TEXT($F$19,"00h "),TEXT($G$19,"00m "),TEXT($H$19,"00s")))</f>
        <v>20h 31m 05s</v>
      </c>
      <c r="DB18" s="434">
        <f>IF($C$20="","",CONCATENATE(TEXT($F$20,"00h "),TEXT($G$20,"00m "),TEXT($H$20,"00s")))</f>
      </c>
      <c r="DC18" s="434">
        <f>IF($C$21="","",CONCATENATE(TEXT($F$21,"00h "),TEXT($G$21,"00m "),TEXT($H$21,"00s")))</f>
      </c>
      <c r="DD18" s="224"/>
      <c r="DE18" s="435" t="s">
        <v>361</v>
      </c>
      <c r="DF18" s="441">
        <f>$D$10</f>
        <v>15</v>
      </c>
      <c r="DG18" s="424"/>
    </row>
    <row r="19" spans="2:111" ht="12.75">
      <c r="B19" s="317" t="s">
        <v>309</v>
      </c>
      <c r="C19" s="273">
        <v>99</v>
      </c>
      <c r="D19" s="274" t="str">
        <f>IF(C19="","",VLOOKUP(C19,$B$84:$L$109,5))</f>
        <v>  Арктур</v>
      </c>
      <c r="E19" s="275"/>
      <c r="F19" s="276">
        <v>20</v>
      </c>
      <c r="G19" s="277">
        <v>31</v>
      </c>
      <c r="H19" s="278">
        <v>5</v>
      </c>
      <c r="I19" s="286">
        <v>24</v>
      </c>
      <c r="J19" s="289">
        <v>8.2</v>
      </c>
      <c r="K19" s="279">
        <v>76</v>
      </c>
      <c r="L19" s="489" t="str">
        <f>IF($C$19="","",CONCATENATE(TEXT($AI$48,"0°"),TEXT($AJ$48," 00,0'")))</f>
        <v>0° 03,4'</v>
      </c>
      <c r="M19" s="490">
        <f>DA36</f>
        <v>79.45025872314828</v>
      </c>
      <c r="CW19" s="423"/>
      <c r="CX19" s="425" t="s">
        <v>356</v>
      </c>
      <c r="CY19" s="451" t="str">
        <f>IF($C$17="","",CONCATENATE(TEXT(E40,"000° "),TEXT(F40,"00,0'")))</f>
        <v>161° 08,4'</v>
      </c>
      <c r="CZ19" s="434" t="str">
        <f>IF($C$18="","",CONCATENATE(TEXT(T40,"000° "),TEXT(U40,"00,0'")))</f>
        <v>161° 40,0'</v>
      </c>
      <c r="DA19" s="434" t="str">
        <f>IF($C$19="","",CONCATENATE(TEXT(AI40,"000° "),TEXT(AJ40,"00,0'")))</f>
        <v>162° 09,8'</v>
      </c>
      <c r="DB19" s="434">
        <f>IF($C$20="","",CONCATENATE(TEXT(AX40,"000° "),TEXT(AY40,"00,0'")))</f>
      </c>
      <c r="DC19" s="434">
        <f>IF($C$21="","",CONCATENATE(TEXT(BM40,"000° "),TEXT(BN40,"00,0'")))</f>
      </c>
      <c r="DD19" s="224"/>
      <c r="DE19" s="435" t="s">
        <v>362</v>
      </c>
      <c r="DF19" s="442">
        <f>$D$9</f>
        <v>8.7</v>
      </c>
      <c r="DG19" s="424"/>
    </row>
    <row r="20" spans="2:111" ht="12.75">
      <c r="B20" s="317" t="s">
        <v>310</v>
      </c>
      <c r="C20" s="273"/>
      <c r="D20" s="274">
        <f>IF(C20="","",VLOOKUP(C20,$B$84:$L$109,5))</f>
      </c>
      <c r="E20" s="275"/>
      <c r="F20" s="276"/>
      <c r="G20" s="277"/>
      <c r="H20" s="278"/>
      <c r="I20" s="286"/>
      <c r="J20" s="289"/>
      <c r="K20" s="279"/>
      <c r="L20" s="489">
        <f>IF($C$20="","",CONCATENATE(TEXT($AX$48,"0°"),TEXT($AY$48," 00,0'")))</f>
      </c>
      <c r="M20" s="181">
        <f>DB36</f>
      </c>
      <c r="CW20" s="423"/>
      <c r="CX20" s="425" t="s">
        <v>37</v>
      </c>
      <c r="CY20" s="434" t="str">
        <f>IF($C$17="","",CONCATENATE(TEXT($D$6,"000° "),TEXT($E$6,"00,0'  "),TEXT($F$6,"0")))</f>
        <v>026° 05,3' N</v>
      </c>
      <c r="CZ20" s="434" t="str">
        <f>IF($C$18="","",CONCATENATE(TEXT($D$6,"000° "),TEXT($E$6,"00,0'  "),TEXT($F$6,"0")))</f>
        <v>026° 05,3' N</v>
      </c>
      <c r="DA20" s="434" t="str">
        <f>IF($C$19="","",CONCATENATE(TEXT($D$6,"000° "),TEXT($E$6,"00,0'  "),TEXT($F$6,"0")))</f>
        <v>026° 05,3' N</v>
      </c>
      <c r="DB20" s="434">
        <f>IF($C$20="","",CONCATENATE(TEXT($D$6,"000° "),TEXT($E$6,"00,0'  "),TEXT($F$6,"0")))</f>
      </c>
      <c r="DC20" s="434">
        <f>IF($C$21="","",CONCATENATE(TEXT($D$6,"000° "),TEXT($E$6,"00,0'  "),TEXT($F$6,"0")))</f>
      </c>
      <c r="DD20" s="224"/>
      <c r="DE20" s="435"/>
      <c r="DF20" s="442"/>
      <c r="DG20" s="424"/>
    </row>
    <row r="21" spans="2:111" ht="13.5" thickBot="1">
      <c r="B21" s="318" t="s">
        <v>311</v>
      </c>
      <c r="C21" s="420"/>
      <c r="D21" s="280">
        <f>IF(C21="","",VLOOKUP(C21,$B$84:$L$109,5))</f>
      </c>
      <c r="E21" s="281"/>
      <c r="F21" s="282"/>
      <c r="G21" s="283"/>
      <c r="H21" s="284"/>
      <c r="I21" s="287"/>
      <c r="J21" s="421"/>
      <c r="K21" s="422"/>
      <c r="L21" s="489">
        <f>IF($C$21="","",CONCATENATE(TEXT($BM$48,"0°"),TEXT($BN$48," 00,0'")))</f>
      </c>
      <c r="M21" s="181">
        <f>DC36</f>
      </c>
      <c r="CW21" s="423"/>
      <c r="CX21" s="425" t="s">
        <v>32</v>
      </c>
      <c r="CY21" s="434" t="str">
        <f>IF($C$17="","",CONCATENATE(TEXT($D$7,"000° "),TEXT($E$7,"00,0'  "),TEXT($F$7,"0")))</f>
        <v>020° 19,8' W</v>
      </c>
      <c r="CZ21" s="434" t="str">
        <f>IF($C$18="","",CONCATENATE(TEXT($D$7,"000° "),TEXT($E$7,"00,0'  "),TEXT($F$7,"0")))</f>
        <v>020° 19,8' W</v>
      </c>
      <c r="DA21" s="434" t="str">
        <f>IF($C$19="","",CONCATENATE(TEXT($D$7,"000° "),TEXT($E$7,"00,0'  "),TEXT($F$7,"0")))</f>
        <v>020° 19,8' W</v>
      </c>
      <c r="DB21" s="434">
        <f>IF($C$20="","",CONCATENATE(TEXT($D$7,"000° "),TEXT($E$7,"00,0'  "),TEXT($F$7,"0")))</f>
      </c>
      <c r="DC21" s="434">
        <f>IF($C$21="","",CONCATENATE(TEXT($D$7,"000° "),TEXT($E$7,"00,0'  "),TEXT($F$7,"0")))</f>
      </c>
      <c r="DD21" s="224"/>
      <c r="DE21" s="435" t="s">
        <v>363</v>
      </c>
      <c r="DF21" s="443">
        <f>$D$8</f>
        <v>62</v>
      </c>
      <c r="DG21" s="424"/>
    </row>
    <row r="22" spans="2:111" ht="13.5" thickTop="1">
      <c r="B22" s="77"/>
      <c r="D22" s="176"/>
      <c r="F22" s="235"/>
      <c r="G22" s="233"/>
      <c r="H22" s="234"/>
      <c r="CW22" s="423"/>
      <c r="CX22" s="425" t="s">
        <v>39</v>
      </c>
      <c r="CY22" s="434" t="str">
        <f>IF($C$17="","",CONCATENATE(TEXT(E41,"000° "),TEXT(F41,"00,0'")))</f>
        <v>140° 48,6'</v>
      </c>
      <c r="CZ22" s="434" t="str">
        <f>IF($C$18="","",CONCATENATE(TEXT(T41,"000° "),TEXT(U41,"00,0'")))</f>
        <v>141° 20,2'</v>
      </c>
      <c r="DA22" s="434" t="str">
        <f>IF($C$19="","",CONCATENATE(TEXT(AI41,"000° "),TEXT(AJ41,"00,0'")))</f>
        <v>141° 50,0'</v>
      </c>
      <c r="DB22" s="434">
        <f>IF($C$20="","",CONCATENATE(TEXT(AX41,"000° "),TEXT(AY41,"00,0'")))</f>
      </c>
      <c r="DC22" s="434">
        <f>IF($C$21="","",CONCATENATE(TEXT(BM41,"000° "),TEXT(BN41,"00,0'")))</f>
      </c>
      <c r="DD22" s="224"/>
      <c r="DE22" s="435" t="s">
        <v>300</v>
      </c>
      <c r="DF22" s="444">
        <f>$D$11</f>
        <v>27</v>
      </c>
      <c r="DG22" s="424"/>
    </row>
    <row r="23" spans="101:111" ht="12.75">
      <c r="CW23" s="423"/>
      <c r="CX23" s="426" t="s">
        <v>355</v>
      </c>
      <c r="CY23" s="434" t="str">
        <f>IF($C$17="","",CONCATENATE(TEXT(E42,"000° "),TEXT(F42,"00,0'")))</f>
        <v>258° 43,6'</v>
      </c>
      <c r="CZ23" s="434" t="str">
        <f>IF($C$18="","",CONCATENATE(TEXT(T42,"000° "),TEXT(U42,"00,0'")))</f>
        <v>323° 14,6'</v>
      </c>
      <c r="DA23" s="434" t="str">
        <f>IF($C$19="","",CONCATENATE(TEXT(AI42,"000° "),TEXT(AJ42,"00,0'")))</f>
        <v>146° 05,6'</v>
      </c>
      <c r="DB23" s="434">
        <f>IF($C$20="","",CONCATENATE(TEXT(AX42,"000° "),TEXT(AY42,"00,0'")))</f>
      </c>
      <c r="DC23" s="434">
        <f>IF($C$21="","",CONCATENATE(TEXT(BM42,"000° "),TEXT(BN42,"00,0'")))</f>
      </c>
      <c r="DD23" s="224"/>
      <c r="DE23" s="435" t="s">
        <v>364</v>
      </c>
      <c r="DF23" s="445">
        <f>$D$12</f>
        <v>760</v>
      </c>
      <c r="DG23" s="424"/>
    </row>
    <row r="24" spans="2:111" ht="12.75">
      <c r="B24" s="27" t="s">
        <v>314</v>
      </c>
      <c r="C24" s="26"/>
      <c r="D24" s="18"/>
      <c r="E24" s="18"/>
      <c r="H24" s="27"/>
      <c r="I24" s="83" t="s">
        <v>212</v>
      </c>
      <c r="O24" s="27"/>
      <c r="Q24" s="27" t="s">
        <v>314</v>
      </c>
      <c r="R24" s="26"/>
      <c r="S24" s="18"/>
      <c r="T24" s="18"/>
      <c r="W24" s="27"/>
      <c r="X24" s="83" t="s">
        <v>242</v>
      </c>
      <c r="Z24" s="26"/>
      <c r="AA24" s="26"/>
      <c r="AB24" s="26"/>
      <c r="AF24" s="27" t="s">
        <v>314</v>
      </c>
      <c r="AG24" s="26"/>
      <c r="AH24" s="18"/>
      <c r="AI24" s="18"/>
      <c r="AL24" s="27"/>
      <c r="AM24" s="83" t="s">
        <v>241</v>
      </c>
      <c r="AU24" s="27" t="s">
        <v>314</v>
      </c>
      <c r="AV24" s="26"/>
      <c r="AW24" s="18"/>
      <c r="AX24" s="18"/>
      <c r="BA24" s="27"/>
      <c r="BB24" s="83" t="s">
        <v>243</v>
      </c>
      <c r="BJ24" s="27" t="s">
        <v>314</v>
      </c>
      <c r="BK24" s="26"/>
      <c r="BL24" s="18"/>
      <c r="BM24" s="18"/>
      <c r="BP24" s="27"/>
      <c r="BQ24" s="83" t="s">
        <v>244</v>
      </c>
      <c r="BY24" s="27" t="s">
        <v>314</v>
      </c>
      <c r="BZ24" s="26"/>
      <c r="CA24" s="18"/>
      <c r="CB24" s="18"/>
      <c r="CE24" s="27"/>
      <c r="CF24" s="83"/>
      <c r="CW24" s="423"/>
      <c r="CX24" s="425" t="s">
        <v>220</v>
      </c>
      <c r="CY24" s="434" t="str">
        <f>IF($C$17="","",CONCATENATE(TEXT(E37,"000° "),TEXT(F37,"00,0'")))</f>
        <v>039° 32,2'</v>
      </c>
      <c r="CZ24" s="434" t="str">
        <f>IF($C$18="","",CONCATENATE(TEXT(T37,"000° "),TEXT(U37,"00,0'")))</f>
        <v>104° 34,8'</v>
      </c>
      <c r="DA24" s="434" t="str">
        <f>IF($C$19="","",CONCATENATE(TEXT(AI37,"000° "),TEXT(AJ37,"00,0'")))</f>
        <v>287° 55,6'</v>
      </c>
      <c r="DB24" s="434">
        <f>IF($C$20="","",CONCATENATE(TEXT(AX37,"000° "),TEXT(AY37,"00,0'")))</f>
      </c>
      <c r="DC24" s="434">
        <f>IF($C$21="","",CONCATENATE(TEXT(BM37,"000° "),TEXT(BN37,"00,0'")))</f>
      </c>
      <c r="DD24" s="224"/>
      <c r="DE24" s="224"/>
      <c r="DF24" s="224"/>
      <c r="DG24" s="424"/>
    </row>
    <row r="25" spans="2:111" ht="12.75">
      <c r="B25" s="26"/>
      <c r="C25" s="17" t="s">
        <v>1</v>
      </c>
      <c r="D25" s="80">
        <f>IF($C$17="","",$D$3)</f>
        <v>26</v>
      </c>
      <c r="E25" s="81">
        <f>IF($C$17="","",$E$3)</f>
        <v>4</v>
      </c>
      <c r="F25" s="82">
        <f>IF($C$17="","",$F$3)</f>
        <v>1999</v>
      </c>
      <c r="G25" s="14"/>
      <c r="H25" s="69"/>
      <c r="I25" s="71"/>
      <c r="J25" s="14"/>
      <c r="O25" s="26"/>
      <c r="Q25" s="26"/>
      <c r="R25" s="17" t="s">
        <v>1</v>
      </c>
      <c r="S25" s="80">
        <f>IF($C$18="","",$D$3)</f>
        <v>26</v>
      </c>
      <c r="T25" s="81">
        <f>IF($C$18="","",$E$3)</f>
        <v>4</v>
      </c>
      <c r="U25" s="82">
        <f>IF($C$18="","",$F$3)</f>
        <v>1999</v>
      </c>
      <c r="V25" s="14"/>
      <c r="W25" s="69"/>
      <c r="X25" s="71"/>
      <c r="Z25" s="26"/>
      <c r="AA25" s="26"/>
      <c r="AB25" s="26"/>
      <c r="AC25" s="14"/>
      <c r="AF25" s="26"/>
      <c r="AG25" s="17" t="s">
        <v>1</v>
      </c>
      <c r="AH25" s="80">
        <f>IF($C$19="","",$D$3)</f>
        <v>26</v>
      </c>
      <c r="AI25" s="81">
        <f>IF($C$19="","",$E$3)</f>
        <v>4</v>
      </c>
      <c r="AJ25" s="82">
        <f>IF($C$19="","",$F$3)</f>
        <v>1999</v>
      </c>
      <c r="AK25" s="14"/>
      <c r="AL25" s="69"/>
      <c r="AM25" s="71"/>
      <c r="AU25" s="26"/>
      <c r="AV25" s="17" t="s">
        <v>1</v>
      </c>
      <c r="AW25" s="80">
        <f>IF($C$20="","",$D$3)</f>
      </c>
      <c r="AX25" s="81">
        <f>IF($C$20="","",$E$3)</f>
      </c>
      <c r="AY25" s="82">
        <f>IF($C$20="","",$F$3)</f>
      </c>
      <c r="AZ25" s="14"/>
      <c r="BA25" s="69"/>
      <c r="BB25" s="71"/>
      <c r="BJ25" s="26"/>
      <c r="BK25" s="17" t="s">
        <v>1</v>
      </c>
      <c r="BL25" s="80">
        <f>IF($C$21="","",$D$3)</f>
      </c>
      <c r="BM25" s="81">
        <f>IF($C$21="","",$E$3)</f>
      </c>
      <c r="BN25" s="82">
        <f>IF($C$21="","",$F$3)</f>
      </c>
      <c r="BO25" s="14"/>
      <c r="BP25" s="69"/>
      <c r="BQ25" s="71"/>
      <c r="BY25" s="26"/>
      <c r="BZ25" s="17" t="s">
        <v>1</v>
      </c>
      <c r="CA25" s="80">
        <f>IF($Q$4="","",$Q$4)</f>
        <v>2</v>
      </c>
      <c r="CB25" s="81">
        <f>IF($R$4="","",$R$4)</f>
        <v>12</v>
      </c>
      <c r="CC25" s="82">
        <f>IF($S$4="","",$S$4)</f>
        <v>1999</v>
      </c>
      <c r="CD25" s="14"/>
      <c r="CE25" s="69"/>
      <c r="CF25" s="71"/>
      <c r="CW25" s="423"/>
      <c r="CX25" s="426" t="s">
        <v>222</v>
      </c>
      <c r="CY25" s="448" t="str">
        <f>IF($C$17="","",IF(D44&gt;=0,CONCATENATE(TEXT(E44,"00 ° "),TEXT(F44,"00,0' N")),CONCATENATE(TEXT(-E44,"00° "),TEXT(F44,"00,0' S"))))</f>
        <v>16° 40,3' S</v>
      </c>
      <c r="CZ25" s="448" t="e">
        <f>IF($C$18="","",IF(S44&gt;=0,CONCATENATE(TEXT(T44,"00° "),TEXT(U44,"00,0' N")),CONCATENATE(TEXT(-T44,"00° "),TEXT(U44,"00,0' S"))))</f>
        <v>#VALUE!</v>
      </c>
      <c r="DA25" s="448" t="e">
        <f>IF($C$19="","",IF(AH44&gt;=0,CONCATENATE(TEXT(AI44,"00° "),TEXT(AJ44,"00,0' N")),CONCATENATE(TEXT(-AI44,"00° "),TEXT(AJ44,"00,0' S"))))</f>
        <v>#VALUE!</v>
      </c>
      <c r="DB25" s="448">
        <f>IF($C$20="","",IF(AW44&gt;=0,CONCATENATE(TEXT(AX44,"00° "),TEXT(AY44,"00,0' N")),CONCATENATE(TEXT(-AX44,"00° "),TEXT(AY44,"00,0' S"))))</f>
      </c>
      <c r="DC25" s="448">
        <f>IF($C$21="","",IF(BL44&gt;=0,CONCATENATE(TEXT(BM44,"00° "),TEXT(BN44,"00,0' N")),CONCATENATE(TEXT(-BM44,"00° "),TEXT(BN44,"00,0' S"))))</f>
      </c>
      <c r="DD25" s="224"/>
      <c r="DE25" s="224"/>
      <c r="DF25" s="224"/>
      <c r="DG25" s="424"/>
    </row>
    <row r="26" spans="2:111" ht="12.75">
      <c r="B26" s="26"/>
      <c r="C26" s="17" t="s">
        <v>2</v>
      </c>
      <c r="D26" s="235">
        <f>$F$17</f>
        <v>20</v>
      </c>
      <c r="E26" s="233">
        <f>$G$17</f>
        <v>27</v>
      </c>
      <c r="F26" s="234">
        <f>$H$17</f>
        <v>0</v>
      </c>
      <c r="G26" s="14"/>
      <c r="H26" s="69"/>
      <c r="I26" s="71"/>
      <c r="J26" s="14"/>
      <c r="O26" s="26"/>
      <c r="Q26" s="26"/>
      <c r="R26" s="17" t="s">
        <v>2</v>
      </c>
      <c r="S26" s="235">
        <f>$F$18</f>
        <v>20</v>
      </c>
      <c r="T26" s="233">
        <f>$G$18</f>
        <v>29</v>
      </c>
      <c r="U26" s="234">
        <f>$H$18</f>
        <v>7</v>
      </c>
      <c r="V26" s="14"/>
      <c r="W26" s="69"/>
      <c r="X26" s="71"/>
      <c r="Z26" s="26"/>
      <c r="AA26" s="26"/>
      <c r="AB26" s="26"/>
      <c r="AC26" s="14"/>
      <c r="AF26" s="26"/>
      <c r="AG26" s="17" t="s">
        <v>2</v>
      </c>
      <c r="AH26" s="235">
        <f>$F$19</f>
        <v>20</v>
      </c>
      <c r="AI26" s="233">
        <f>$G$19</f>
        <v>31</v>
      </c>
      <c r="AJ26" s="234">
        <f>$H$19</f>
        <v>5</v>
      </c>
      <c r="AK26" s="14"/>
      <c r="AL26" s="69"/>
      <c r="AM26" s="71"/>
      <c r="AU26" s="26"/>
      <c r="AV26" s="17" t="s">
        <v>2</v>
      </c>
      <c r="AW26" s="235">
        <f>$F$20</f>
        <v>0</v>
      </c>
      <c r="AX26" s="233">
        <f>$G$20</f>
        <v>0</v>
      </c>
      <c r="AY26" s="234">
        <f>$H$20</f>
        <v>0</v>
      </c>
      <c r="AZ26" s="14"/>
      <c r="BA26" s="69"/>
      <c r="BB26" s="71"/>
      <c r="BJ26" s="26"/>
      <c r="BK26" s="17" t="s">
        <v>2</v>
      </c>
      <c r="BL26" s="235">
        <f>$F$21</f>
        <v>0</v>
      </c>
      <c r="BM26" s="233">
        <f>$G$21</f>
        <v>0</v>
      </c>
      <c r="BN26" s="234">
        <f>$H$21</f>
        <v>0</v>
      </c>
      <c r="BO26" s="14"/>
      <c r="BP26" s="69"/>
      <c r="BQ26" s="71"/>
      <c r="BY26" s="26"/>
      <c r="BZ26" s="17" t="s">
        <v>2</v>
      </c>
      <c r="CA26" s="235">
        <f>IF($Q$5="","",$Q$5)</f>
        <v>23</v>
      </c>
      <c r="CB26" s="233">
        <f>IF($R$5="","",$R$5)</f>
      </c>
      <c r="CC26" s="234">
        <f>IF($S$5="","",$S$5)</f>
      </c>
      <c r="CD26" s="14"/>
      <c r="CE26" s="69"/>
      <c r="CF26" s="71"/>
      <c r="CW26" s="423"/>
      <c r="CX26" s="224"/>
      <c r="CY26" s="433"/>
      <c r="CZ26" s="433"/>
      <c r="DA26" s="433"/>
      <c r="DB26" s="433"/>
      <c r="DC26" s="433"/>
      <c r="DD26" s="224"/>
      <c r="DE26" s="224"/>
      <c r="DF26" s="224"/>
      <c r="DG26" s="424"/>
    </row>
    <row r="27" spans="2:111" ht="12.75">
      <c r="B27" s="26"/>
      <c r="C27" s="17" t="s">
        <v>213</v>
      </c>
      <c r="D27" s="28">
        <f>$C$17</f>
        <v>46</v>
      </c>
      <c r="E27" s="176" t="str">
        <f>$D$17</f>
        <v>  Сириус</v>
      </c>
      <c r="G27" s="14" t="s">
        <v>74</v>
      </c>
      <c r="H27" s="234">
        <f>$I$17</f>
        <v>32</v>
      </c>
      <c r="I27" s="234">
        <f>$J$17</f>
        <v>33.3</v>
      </c>
      <c r="O27" s="26"/>
      <c r="Q27" s="26"/>
      <c r="R27" s="17" t="s">
        <v>213</v>
      </c>
      <c r="S27" s="28">
        <f>$C$18</f>
        <v>200</v>
      </c>
      <c r="T27" s="176" t="str">
        <f>$D$18</f>
        <v>  Полярная</v>
      </c>
      <c r="V27" s="14" t="s">
        <v>74</v>
      </c>
      <c r="W27" s="234">
        <f>$I$18</f>
        <v>26</v>
      </c>
      <c r="X27" s="234">
        <f>$J$18</f>
        <v>5.2</v>
      </c>
      <c r="Z27" s="26"/>
      <c r="AA27" s="26"/>
      <c r="AB27" s="26"/>
      <c r="AC27" s="14"/>
      <c r="AF27" s="26"/>
      <c r="AG27" s="17" t="s">
        <v>213</v>
      </c>
      <c r="AH27" s="28">
        <f>$C$19</f>
        <v>99</v>
      </c>
      <c r="AI27" s="176" t="str">
        <f>$D$19</f>
        <v>  Арктур</v>
      </c>
      <c r="AK27" s="14" t="s">
        <v>74</v>
      </c>
      <c r="AL27" s="234">
        <f>$I$19</f>
        <v>24</v>
      </c>
      <c r="AM27" s="234">
        <f>$J$19</f>
        <v>8.2</v>
      </c>
      <c r="AU27" s="26"/>
      <c r="AV27" s="17" t="s">
        <v>213</v>
      </c>
      <c r="AW27" s="28">
        <f>$C$20</f>
        <v>0</v>
      </c>
      <c r="AX27" s="176">
        <f>$D$20</f>
      </c>
      <c r="AZ27" s="14" t="s">
        <v>74</v>
      </c>
      <c r="BA27" s="234">
        <f>$I$20</f>
        <v>0</v>
      </c>
      <c r="BB27" s="234">
        <f>$J$20</f>
        <v>0</v>
      </c>
      <c r="BJ27" s="26"/>
      <c r="BK27" s="17" t="s">
        <v>213</v>
      </c>
      <c r="BL27" s="28">
        <f>$C$21</f>
        <v>0</v>
      </c>
      <c r="BM27" s="176">
        <f>$D$21</f>
      </c>
      <c r="BO27" s="14" t="s">
        <v>74</v>
      </c>
      <c r="BP27" s="234">
        <f>$I$21</f>
        <v>0</v>
      </c>
      <c r="BQ27" s="234">
        <f>$J$21</f>
        <v>0</v>
      </c>
      <c r="BY27" s="26"/>
      <c r="BZ27" s="17" t="s">
        <v>213</v>
      </c>
      <c r="CA27" s="247">
        <f>$Q$11</f>
        <v>200</v>
      </c>
      <c r="CB27" s="176" t="str">
        <f>$R$11</f>
        <v>  Полярная</v>
      </c>
      <c r="CD27" s="14" t="s">
        <v>74</v>
      </c>
      <c r="CE27" s="234">
        <f>$I$21</f>
        <v>0</v>
      </c>
      <c r="CF27" s="234">
        <f>$J$21</f>
        <v>0</v>
      </c>
      <c r="CW27" s="423"/>
      <c r="CX27" s="425" t="s">
        <v>367</v>
      </c>
      <c r="CY27" s="451" t="str">
        <f>IF($C$17="","",CONCATENATE(TEXT($I$17,"00° "),TEXT($J$17,"00,0'")))</f>
        <v>32° 33,3'</v>
      </c>
      <c r="CZ27" s="434" t="str">
        <f>IF($C$18="","",CONCATENATE(TEXT($I$18,"00° "),TEXT($J$18,"00,0'")))</f>
        <v>26° 05,2'</v>
      </c>
      <c r="DA27" s="434" t="str">
        <f>IF($C$19="","",CONCATENATE(TEXT($I$19,"00° "),TEXT($J$19,"00,0'")))</f>
        <v>24° 08,2'</v>
      </c>
      <c r="DB27" s="434">
        <f>IF($C$20="","",CONCATENATE(TEXT($I$20,"00° "),TEXT($J$20,"00,0'")))</f>
      </c>
      <c r="DC27" s="434">
        <f>IF($C$21="","",CONCATENATE(TEXT($I$21,"00° "),TEXT($J$21,"00,0'")))</f>
      </c>
      <c r="DD27" s="224"/>
      <c r="DE27" s="224"/>
      <c r="DF27" s="224"/>
      <c r="DG27" s="424"/>
    </row>
    <row r="28" spans="2:111" ht="12.75">
      <c r="B28" s="26"/>
      <c r="C28" s="17" t="s">
        <v>31</v>
      </c>
      <c r="D28" s="69">
        <f>$D$6</f>
        <v>26</v>
      </c>
      <c r="E28" s="232">
        <f>$E$6</f>
        <v>5.32</v>
      </c>
      <c r="F28" s="28" t="str">
        <f>$F$6</f>
        <v>N</v>
      </c>
      <c r="G28" s="14" t="s">
        <v>49</v>
      </c>
      <c r="H28" s="70"/>
      <c r="I28" s="71">
        <f>$D$13</f>
        <v>0.1</v>
      </c>
      <c r="O28" s="26"/>
      <c r="Q28" s="26"/>
      <c r="R28" s="17" t="s">
        <v>31</v>
      </c>
      <c r="S28" s="69">
        <f>$D$6</f>
        <v>26</v>
      </c>
      <c r="T28" s="232">
        <f>$E$6</f>
        <v>5.32</v>
      </c>
      <c r="U28" s="28" t="str">
        <f>$F$6</f>
        <v>N</v>
      </c>
      <c r="V28" s="14" t="s">
        <v>49</v>
      </c>
      <c r="W28" s="70"/>
      <c r="X28" s="71">
        <f>$D$13</f>
        <v>0.1</v>
      </c>
      <c r="Z28" s="26"/>
      <c r="AA28" s="26"/>
      <c r="AB28" s="26"/>
      <c r="AC28" s="14"/>
      <c r="AF28" s="26"/>
      <c r="AG28" s="17" t="s">
        <v>31</v>
      </c>
      <c r="AH28" s="69">
        <f>$D$6</f>
        <v>26</v>
      </c>
      <c r="AI28" s="232">
        <f>$E$6</f>
        <v>5.32</v>
      </c>
      <c r="AJ28" s="28" t="str">
        <f>$F$6</f>
        <v>N</v>
      </c>
      <c r="AK28" s="14" t="s">
        <v>49</v>
      </c>
      <c r="AL28" s="70"/>
      <c r="AM28" s="71">
        <f>$D$13</f>
        <v>0.1</v>
      </c>
      <c r="AU28" s="26"/>
      <c r="AV28" s="17" t="s">
        <v>31</v>
      </c>
      <c r="AW28" s="69">
        <f>$D$6</f>
        <v>26</v>
      </c>
      <c r="AX28" s="232">
        <f>$E$6</f>
        <v>5.32</v>
      </c>
      <c r="AY28" s="28" t="str">
        <f>$F$6</f>
        <v>N</v>
      </c>
      <c r="AZ28" s="14" t="s">
        <v>49</v>
      </c>
      <c r="BA28" s="70"/>
      <c r="BB28" s="71">
        <f>$D$13</f>
        <v>0.1</v>
      </c>
      <c r="BJ28" s="26"/>
      <c r="BK28" s="17" t="s">
        <v>31</v>
      </c>
      <c r="BL28" s="69">
        <f>$D$6</f>
        <v>26</v>
      </c>
      <c r="BM28" s="232">
        <f>$E$6</f>
        <v>5.32</v>
      </c>
      <c r="BN28" s="28" t="str">
        <f>$F$6</f>
        <v>N</v>
      </c>
      <c r="BO28" s="14" t="s">
        <v>49</v>
      </c>
      <c r="BP28" s="70"/>
      <c r="BQ28" s="71">
        <f>$D$13</f>
        <v>0.1</v>
      </c>
      <c r="BY28" s="26"/>
      <c r="BZ28" s="17" t="s">
        <v>31</v>
      </c>
      <c r="CA28" s="69">
        <f>$Q$6</f>
        <v>43</v>
      </c>
      <c r="CB28" s="232">
        <f>$R$6</f>
        <v>23.4</v>
      </c>
      <c r="CC28" s="28" t="str">
        <f>$S$6</f>
        <v>S</v>
      </c>
      <c r="CD28" s="14" t="s">
        <v>49</v>
      </c>
      <c r="CE28" s="70"/>
      <c r="CF28" s="71">
        <f>$D$13</f>
        <v>0.1</v>
      </c>
      <c r="CW28" s="423"/>
      <c r="CX28" s="425" t="s">
        <v>358</v>
      </c>
      <c r="CY28" s="447">
        <f>IF($C$17="","",$D$13)</f>
        <v>0.1</v>
      </c>
      <c r="CZ28" s="447">
        <f>IF($C$18="","",$D$13)</f>
        <v>0.1</v>
      </c>
      <c r="DA28" s="447">
        <f>IF($C$19="","",$D$13)</f>
        <v>0.1</v>
      </c>
      <c r="DB28" s="447">
        <f>IF($C$20="","",$D$13)</f>
      </c>
      <c r="DC28" s="447">
        <f>IF($C$21="","",$D$13)</f>
      </c>
      <c r="DD28" s="224"/>
      <c r="DE28" s="224"/>
      <c r="DF28" s="224"/>
      <c r="DG28" s="424"/>
    </row>
    <row r="29" spans="2:111" ht="15.75">
      <c r="B29" s="26"/>
      <c r="C29" s="17" t="s">
        <v>33</v>
      </c>
      <c r="D29" s="246">
        <f>$D$7</f>
        <v>20</v>
      </c>
      <c r="E29" s="232">
        <f>$E$7</f>
        <v>19.8</v>
      </c>
      <c r="F29" s="28" t="str">
        <f>$F$7</f>
        <v>W</v>
      </c>
      <c r="G29" s="22" t="s">
        <v>316</v>
      </c>
      <c r="H29" s="70"/>
      <c r="I29" s="71">
        <f>-1.76*SQRT($D$10)</f>
        <v>-6.816450689325054</v>
      </c>
      <c r="L29" s="21"/>
      <c r="O29" s="26"/>
      <c r="Q29" s="26"/>
      <c r="R29" s="17" t="s">
        <v>33</v>
      </c>
      <c r="S29" s="246">
        <f>$D$7</f>
        <v>20</v>
      </c>
      <c r="T29" s="232">
        <f>$E$7</f>
        <v>19.8</v>
      </c>
      <c r="U29" s="28" t="str">
        <f>$F$7</f>
        <v>W</v>
      </c>
      <c r="V29" s="22" t="s">
        <v>316</v>
      </c>
      <c r="W29" s="70"/>
      <c r="X29" s="71">
        <f>-1.76*SQRT($D$10)</f>
        <v>-6.816450689325054</v>
      </c>
      <c r="Z29" s="26"/>
      <c r="AA29" s="26"/>
      <c r="AB29" s="26"/>
      <c r="AC29" s="14"/>
      <c r="AF29" s="26"/>
      <c r="AG29" s="17" t="s">
        <v>33</v>
      </c>
      <c r="AH29" s="246">
        <f>$D$7</f>
        <v>20</v>
      </c>
      <c r="AI29" s="232">
        <f>$E$7</f>
        <v>19.8</v>
      </c>
      <c r="AJ29" s="28" t="str">
        <f>$F$7</f>
        <v>W</v>
      </c>
      <c r="AK29" s="22" t="s">
        <v>316</v>
      </c>
      <c r="AL29" s="70"/>
      <c r="AM29" s="71">
        <f>-1.76*SQRT($D$10)</f>
        <v>-6.816450689325054</v>
      </c>
      <c r="AU29" s="26"/>
      <c r="AV29" s="17" t="s">
        <v>33</v>
      </c>
      <c r="AW29" s="246">
        <f>$D$7</f>
        <v>20</v>
      </c>
      <c r="AX29" s="232">
        <f>$E$7</f>
        <v>19.8</v>
      </c>
      <c r="AY29" s="28" t="str">
        <f>$F$7</f>
        <v>W</v>
      </c>
      <c r="AZ29" s="22" t="s">
        <v>316</v>
      </c>
      <c r="BA29" s="70"/>
      <c r="BB29" s="71">
        <f>-1.76*SQRT($D$10)</f>
        <v>-6.816450689325054</v>
      </c>
      <c r="BE29" s="21"/>
      <c r="BJ29" s="26"/>
      <c r="BK29" s="17" t="s">
        <v>33</v>
      </c>
      <c r="BL29" s="246">
        <f>$D$7</f>
        <v>20</v>
      </c>
      <c r="BM29" s="232">
        <f>$E$7</f>
        <v>19.8</v>
      </c>
      <c r="BN29" s="28" t="str">
        <f>$F$7</f>
        <v>W</v>
      </c>
      <c r="BO29" s="22" t="s">
        <v>316</v>
      </c>
      <c r="BP29" s="70"/>
      <c r="BQ29" s="71">
        <f>-1.76*SQRT($D$10)</f>
        <v>-6.816450689325054</v>
      </c>
      <c r="BY29" s="26"/>
      <c r="BZ29" s="17" t="s">
        <v>33</v>
      </c>
      <c r="CA29" s="246">
        <f>$Q$7</f>
        <v>4</v>
      </c>
      <c r="CB29" s="232">
        <f>$R$7</f>
        <v>54.3</v>
      </c>
      <c r="CC29" s="28" t="str">
        <f>$S$7</f>
        <v>E</v>
      </c>
      <c r="CD29" s="22" t="s">
        <v>316</v>
      </c>
      <c r="CE29" s="70"/>
      <c r="CF29" s="71">
        <f>-1.76*SQRT($D$10)</f>
        <v>-6.816450689325054</v>
      </c>
      <c r="CW29" s="423"/>
      <c r="CX29" s="426" t="s">
        <v>316</v>
      </c>
      <c r="CY29" s="447">
        <f>IF($C$17="","",-1.76*SQRT($D$10))</f>
        <v>-6.816450689325054</v>
      </c>
      <c r="CZ29" s="447">
        <f>IF($C$18="","",-1.76*SQRT($D$10))</f>
        <v>-6.816450689325054</v>
      </c>
      <c r="DA29" s="447">
        <f>IF($C$19="","",-1.76*SQRT($D$10))</f>
        <v>-6.816450689325054</v>
      </c>
      <c r="DB29" s="447">
        <f>IF($C$20="","",-1.76*SQRT($D$10))</f>
      </c>
      <c r="DC29" s="447">
        <f>IF($C$21="","",-1.76*SQRT($D$10))</f>
      </c>
      <c r="DD29" s="224"/>
      <c r="DE29" s="224"/>
      <c r="DF29" s="224"/>
      <c r="DG29" s="424"/>
    </row>
    <row r="30" spans="2:111" ht="15.75">
      <c r="B30" s="26"/>
      <c r="G30" s="22" t="s">
        <v>315</v>
      </c>
      <c r="H30" s="70"/>
      <c r="I30" s="71"/>
      <c r="O30" s="26"/>
      <c r="Q30" s="26"/>
      <c r="V30" s="22" t="s">
        <v>315</v>
      </c>
      <c r="W30" s="70"/>
      <c r="X30" s="71"/>
      <c r="Z30" s="26"/>
      <c r="AA30" s="26"/>
      <c r="AB30" s="26"/>
      <c r="AC30" s="14"/>
      <c r="AF30" s="26"/>
      <c r="AK30" s="22" t="s">
        <v>315</v>
      </c>
      <c r="AL30" s="70"/>
      <c r="AM30" s="71"/>
      <c r="AU30" s="26"/>
      <c r="AZ30" s="22" t="s">
        <v>315</v>
      </c>
      <c r="BA30" s="70"/>
      <c r="BB30" s="71"/>
      <c r="BJ30" s="26"/>
      <c r="BO30" s="22" t="s">
        <v>315</v>
      </c>
      <c r="BP30" s="70"/>
      <c r="BQ30" s="71"/>
      <c r="BY30" s="26"/>
      <c r="CD30" s="22" t="s">
        <v>315</v>
      </c>
      <c r="CE30" s="70"/>
      <c r="CF30" s="71"/>
      <c r="CW30" s="423"/>
      <c r="CX30" s="426" t="s">
        <v>315</v>
      </c>
      <c r="CY30" s="433"/>
      <c r="CZ30" s="433"/>
      <c r="DA30" s="433"/>
      <c r="DB30" s="433"/>
      <c r="DC30" s="433"/>
      <c r="DD30" s="224"/>
      <c r="DE30" s="224"/>
      <c r="DF30" s="224"/>
      <c r="DG30" s="424"/>
    </row>
    <row r="31" spans="2:111" ht="14.25">
      <c r="B31" s="26"/>
      <c r="G31" s="22" t="s">
        <v>317</v>
      </c>
      <c r="I31" s="71">
        <f>L79</f>
        <v>-1.5</v>
      </c>
      <c r="O31" s="26"/>
      <c r="Q31" s="26"/>
      <c r="V31" s="22" t="s">
        <v>317</v>
      </c>
      <c r="X31" s="71">
        <f>AA79</f>
        <v>-1.9</v>
      </c>
      <c r="Z31" s="26"/>
      <c r="AA31" s="26"/>
      <c r="AB31" s="26"/>
      <c r="AC31" s="14"/>
      <c r="AF31" s="26"/>
      <c r="AK31" s="22" t="s">
        <v>317</v>
      </c>
      <c r="AM31" s="71">
        <f>AP79</f>
        <v>-2.1</v>
      </c>
      <c r="AU31" s="26"/>
      <c r="AZ31" s="22" t="s">
        <v>317</v>
      </c>
      <c r="BB31" s="71">
        <f>BE79</f>
        <v>-33</v>
      </c>
      <c r="BJ31" s="26"/>
      <c r="BO31" s="22" t="s">
        <v>317</v>
      </c>
      <c r="BQ31" s="71">
        <f>BT79</f>
        <v>-33</v>
      </c>
      <c r="BY31" s="26"/>
      <c r="CD31" s="22" t="s">
        <v>317</v>
      </c>
      <c r="CF31" s="71">
        <f>CI79</f>
        <v>-33</v>
      </c>
      <c r="CW31" s="423"/>
      <c r="CX31" s="426" t="s">
        <v>317</v>
      </c>
      <c r="CY31" s="447">
        <f>IF($C$17="","",I31)</f>
        <v>-1.5</v>
      </c>
      <c r="CZ31" s="447">
        <f>IF($C$18="","",X31)</f>
        <v>-1.9</v>
      </c>
      <c r="DA31" s="447">
        <f>IF($C$19="","",AM31)</f>
        <v>-2.1</v>
      </c>
      <c r="DB31" s="447">
        <f>IF($C$20="","",BB31)</f>
      </c>
      <c r="DC31" s="447">
        <f>IF($C$21="","",BQ31)</f>
      </c>
      <c r="DD31" s="224"/>
      <c r="DE31" s="224"/>
      <c r="DF31" s="224"/>
      <c r="DG31" s="424"/>
    </row>
    <row r="32" spans="2:111" ht="15.75">
      <c r="B32" s="26"/>
      <c r="C32" s="14" t="s">
        <v>238</v>
      </c>
      <c r="D32" s="75">
        <f>$K$17</f>
        <v>226</v>
      </c>
      <c r="G32" s="22" t="s">
        <v>239</v>
      </c>
      <c r="I32" s="71">
        <f>COS(RADIANS(D50-$D$8))*$D$9*(($D$4*60+$E$4)-($F$17*60+$G$17+$H$17/60))/60</f>
        <v>-0.41879073795190513</v>
      </c>
      <c r="O32" s="26"/>
      <c r="Q32" s="26"/>
      <c r="R32" s="14" t="s">
        <v>48</v>
      </c>
      <c r="S32" s="75">
        <f>$K$18</f>
        <v>359</v>
      </c>
      <c r="V32" s="22" t="s">
        <v>239</v>
      </c>
      <c r="X32" s="71">
        <f>COS(RADIANS(S50-$D$8))*$D$9*(($D$4*60+$E$4)-($F$18*60+$G$18+$H$18/60))/60</f>
        <v>0.05854917823104352</v>
      </c>
      <c r="Z32" s="26"/>
      <c r="AA32" s="26"/>
      <c r="AB32" s="26"/>
      <c r="AF32" s="26"/>
      <c r="AG32" s="14" t="s">
        <v>48</v>
      </c>
      <c r="AH32" s="75">
        <f>$K$19</f>
        <v>76</v>
      </c>
      <c r="AK32" s="22" t="s">
        <v>239</v>
      </c>
      <c r="AM32" s="71">
        <f>COS(RADIANS(AH50-$D$8))*$D$9*(($D$4*60+$E$4)-($F$19*60+$G$19+$H$19/60))/60</f>
        <v>-0.14985398899446079</v>
      </c>
      <c r="AU32" s="26"/>
      <c r="AV32" s="14" t="s">
        <v>238</v>
      </c>
      <c r="AW32" s="75">
        <f>$K$20</f>
        <v>0</v>
      </c>
      <c r="AZ32" s="22" t="s">
        <v>239</v>
      </c>
      <c r="BB32" s="71" t="e">
        <f>COS(RADIANS(AW50-$D$8))*$D$9*(($D$4*60+$E$4)-($F$20*60+$G$20+$H$20/60))/60</f>
        <v>#VALUE!</v>
      </c>
      <c r="BJ32" s="26"/>
      <c r="BK32" s="14" t="s">
        <v>238</v>
      </c>
      <c r="BL32" s="75">
        <f>$K$21</f>
        <v>0</v>
      </c>
      <c r="BO32" s="22" t="s">
        <v>239</v>
      </c>
      <c r="BQ32" s="71" t="e">
        <f>COS(RADIANS(BL50-$D$8))*$D$9*(($D$4*60+$E$4)-($F$21*60+$G$21+$H$21/60))/60</f>
        <v>#VALUE!</v>
      </c>
      <c r="BY32" s="26"/>
      <c r="BZ32" s="14" t="s">
        <v>238</v>
      </c>
      <c r="CA32" s="75">
        <f>$Q12</f>
        <v>0</v>
      </c>
      <c r="CD32" s="22"/>
      <c r="CF32" s="71"/>
      <c r="CW32" s="423"/>
      <c r="CX32" s="426" t="s">
        <v>239</v>
      </c>
      <c r="CY32" s="447">
        <f>IF($C$17="","",I32)</f>
        <v>-0.41879073795190513</v>
      </c>
      <c r="CZ32" s="447">
        <f>IF($C$18="","",X32)</f>
        <v>0.05854917823104352</v>
      </c>
      <c r="DA32" s="447">
        <f>IF($C$19="","",AM32)</f>
        <v>-0.14985398899446079</v>
      </c>
      <c r="DB32" s="447">
        <f>IF($C$20="","",BB32)</f>
      </c>
      <c r="DC32" s="447">
        <f>IF($C$21="","",BQ32)</f>
      </c>
      <c r="DD32" s="224"/>
      <c r="DE32" s="224"/>
      <c r="DF32" s="224"/>
      <c r="DG32" s="424"/>
    </row>
    <row r="33" spans="15:111" ht="15.75">
      <c r="O33" s="26"/>
      <c r="Z33" s="26"/>
      <c r="AA33" s="26"/>
      <c r="AB33" s="26"/>
      <c r="CW33" s="423"/>
      <c r="CX33" s="425" t="s">
        <v>223</v>
      </c>
      <c r="CY33" s="434" t="str">
        <f>IF($C$17="","",CONCATENATE(TEXT($E$46,"00° "),TEXT($F$46,"00,0'")))</f>
        <v>32° 24,7'</v>
      </c>
      <c r="CZ33" s="434" t="str">
        <f>IF($C$18="","",CONCATENATE(TEXT($T$46,"00° "),TEXT($U$46,"00,0'")))</f>
        <v>25° 56,6'</v>
      </c>
      <c r="DA33" s="434" t="str">
        <f>IF($C$19="","",CONCATENATE(TEXT($AI$46,"00° "),TEXT($AJ$46,"00,0'")))</f>
        <v>23° 59,2'</v>
      </c>
      <c r="DB33" s="434">
        <f>IF($C$20="","",CONCATENATE(TEXT($AX$46,"00° "),TEXT($AY$46,"00,0'")))</f>
      </c>
      <c r="DC33" s="434">
        <f>IF($C$21="","",CONCATENATE(TEXT($BM$46,"00° "),TEXT($BN$46,"00,0'")))</f>
      </c>
      <c r="DD33" s="224"/>
      <c r="DE33" s="224"/>
      <c r="DF33" s="224"/>
      <c r="DG33" s="424"/>
    </row>
    <row r="34" spans="3:111" ht="15.75">
      <c r="C34" s="76"/>
      <c r="O34" s="26"/>
      <c r="R34" s="76"/>
      <c r="Z34" s="26"/>
      <c r="AA34" s="26"/>
      <c r="AB34" s="26"/>
      <c r="AG34" s="76"/>
      <c r="AU34" t="s">
        <v>51</v>
      </c>
      <c r="AV34" s="76" t="e">
        <f>AW50-AW32</f>
        <v>#VALUE!</v>
      </c>
      <c r="BJ34" t="s">
        <v>51</v>
      </c>
      <c r="BK34" s="76" t="e">
        <f>BL50-BL32</f>
        <v>#VALUE!</v>
      </c>
      <c r="BY34" t="s">
        <v>51</v>
      </c>
      <c r="BZ34" s="76">
        <f>CA48-CA32</f>
        <v>359.5812304224377</v>
      </c>
      <c r="CW34" s="423"/>
      <c r="CX34" s="425" t="s">
        <v>224</v>
      </c>
      <c r="CY34" s="434" t="str">
        <f>IF($C$17="","",CONCATENATE(TEXT($E$47,"00° "),TEXT($F$47,"00,0'")))</f>
        <v>32° 30,2'</v>
      </c>
      <c r="CZ34" s="434" t="str">
        <f>IF($C$18="","",CONCATENATE(TEXT($T$47,"00° "),TEXT($U$47,"00,0'")))</f>
        <v>25° 54,0'</v>
      </c>
      <c r="DA34" s="434" t="str">
        <f>IF($C$19="","",CONCATENATE(TEXT($AI$47,"00° "),TEXT($AJ$47,"00,0'")))</f>
        <v>23° 55,8'</v>
      </c>
      <c r="DB34" s="434">
        <f>IF($C$20="","",CONCATENATE(TEXT($AX$47,"00° "),TEXT($AY$47,"00,0'")))</f>
      </c>
      <c r="DC34" s="434">
        <f>IF($C$21="","",CONCATENATE(TEXT($BM$47,"00° "),TEXT($BN$47,"00,0'")))</f>
      </c>
      <c r="DD34" s="224"/>
      <c r="DE34" s="224"/>
      <c r="DF34" s="224"/>
      <c r="DG34" s="424"/>
    </row>
    <row r="35" spans="3:111" ht="12.75">
      <c r="C35" s="76"/>
      <c r="O35" s="26"/>
      <c r="R35" s="76"/>
      <c r="Z35" s="26"/>
      <c r="AA35" s="26"/>
      <c r="AB35" s="26"/>
      <c r="AG35" s="76"/>
      <c r="AV35" s="76"/>
      <c r="BK35" s="76"/>
      <c r="BZ35" s="76"/>
      <c r="CW35" s="423"/>
      <c r="CX35" s="425" t="s">
        <v>82</v>
      </c>
      <c r="CY35" s="449">
        <f>IF($C$17="","",$F$48*SIGN(D48))</f>
        <v>-5.5576096526282015</v>
      </c>
      <c r="CZ35" s="449">
        <f>IF($C$18="","",$U$48*SIGN(S48))</f>
        <v>2.6674384523746397</v>
      </c>
      <c r="DA35" s="449">
        <f>IF($C$19="","",$AJ$48*SIGN(AH48))</f>
        <v>3.445406538866891</v>
      </c>
      <c r="DB35" s="449">
        <f>IF($C$20="","",$AY$48*SIGN(AW48))</f>
      </c>
      <c r="DC35" s="449">
        <f>IF($C$21="","",$BN$48*SIGN(BL48))</f>
      </c>
      <c r="DD35" s="224"/>
      <c r="DE35" s="224"/>
      <c r="DF35" s="224"/>
      <c r="DG35" s="424"/>
    </row>
    <row r="36" spans="2:111" ht="12.75">
      <c r="B36" s="176" t="str">
        <f>VLOOKUP(D27,$B$84:$L$109,5)</f>
        <v>  Сириус</v>
      </c>
      <c r="O36" s="26"/>
      <c r="P36" s="17"/>
      <c r="Q36" s="176" t="str">
        <f>VLOOKUP(S27,$B$84:$L$109,5)</f>
        <v>  Полярная</v>
      </c>
      <c r="Y36" s="97"/>
      <c r="Z36" s="98"/>
      <c r="AA36" s="26"/>
      <c r="AB36" s="26"/>
      <c r="AF36" s="176" t="str">
        <f>VLOOKUP(AH27,$B$84:$L$109,5)</f>
        <v>  Арктур</v>
      </c>
      <c r="AU36" s="176" t="e">
        <f>VLOOKUP(AW27,$B$84:$L$109,5)</f>
        <v>#VALUE!</v>
      </c>
      <c r="BJ36" s="176" t="e">
        <f>VLOOKUP(BL27,$B$84:$L$109,5)</f>
        <v>#VALUE!</v>
      </c>
      <c r="BY36" s="176" t="str">
        <f>VLOOKUP(CA27,$B$84:$L$109,5)</f>
        <v>  Полярная</v>
      </c>
      <c r="CW36" s="423"/>
      <c r="CX36" s="425" t="s">
        <v>359</v>
      </c>
      <c r="CY36" s="450">
        <f>IF($C$17="","",D50)</f>
        <v>226.30965427320263</v>
      </c>
      <c r="CZ36" s="450">
        <f>IF($C$18="","",S50)</f>
        <v>359.20128357303895</v>
      </c>
      <c r="DA36" s="450">
        <f>IF($C$19="","",AH50)</f>
        <v>79.45025872314828</v>
      </c>
      <c r="DB36" s="450">
        <f>IF($C$20="","",AW50)</f>
      </c>
      <c r="DC36" s="450">
        <f>IF($C$21="","",BL50)</f>
      </c>
      <c r="DD36" s="224"/>
      <c r="DE36" s="224"/>
      <c r="DF36" s="224"/>
      <c r="DG36" s="424"/>
    </row>
    <row r="37" spans="3:111" ht="13.5" thickBot="1">
      <c r="C37" s="17" t="s">
        <v>220</v>
      </c>
      <c r="D37" s="61">
        <f>IF((D43+D55)&lt;0,D43+D55+360,IF((D43+D55)&gt;360,(D43+D55)-360,D43+D55))</f>
        <v>39.53711520000006</v>
      </c>
      <c r="E37" s="21">
        <f>INT(D37)</f>
        <v>39</v>
      </c>
      <c r="F37" s="59">
        <f>(D37-INT(D37))*60</f>
        <v>32.22691200000355</v>
      </c>
      <c r="G37" t="s">
        <v>34</v>
      </c>
      <c r="H37" s="79" t="s">
        <v>231</v>
      </c>
      <c r="O37" s="26"/>
      <c r="R37" s="17" t="s">
        <v>220</v>
      </c>
      <c r="S37" s="61">
        <f>IF((S43+S55)&lt;0,S43+S55+360,IF((S43+S55)&gt;360,(S43+S55)-360,S43+S55))</f>
        <v>104.58048639999997</v>
      </c>
      <c r="T37" s="21">
        <f>INT(S37)</f>
        <v>104</v>
      </c>
      <c r="U37" s="59">
        <f>(S37-INT(S37))*60</f>
        <v>34.82918399999818</v>
      </c>
      <c r="V37" t="s">
        <v>34</v>
      </c>
      <c r="W37" s="79" t="s">
        <v>231</v>
      </c>
      <c r="Y37" s="97"/>
      <c r="Z37" s="99"/>
      <c r="AA37" s="26"/>
      <c r="AB37" s="26"/>
      <c r="AG37" s="17" t="s">
        <v>220</v>
      </c>
      <c r="AH37" s="61">
        <f>IF((AH43+AH55)&lt;0,AH43+AH55+360,IF((AH43+AH55)&gt;360,(AH43+AH55)-360,AH43+AH55))</f>
        <v>287.92647200000005</v>
      </c>
      <c r="AI37" s="21">
        <f>INT(AH37)</f>
        <v>287</v>
      </c>
      <c r="AJ37" s="59">
        <f>(AH37-INT(AH37))*60</f>
        <v>55.588320000002795</v>
      </c>
      <c r="AK37" t="s">
        <v>34</v>
      </c>
      <c r="AL37" s="79" t="s">
        <v>231</v>
      </c>
      <c r="AN37" s="97"/>
      <c r="AV37" s="17" t="s">
        <v>220</v>
      </c>
      <c r="AW37" s="61" t="e">
        <f>IF((AW43+AW55)&lt;0,AW43+AW55+360,IF((AW43+AW55)&gt;360,(AW43+AW55)-360,AW43+AW55))</f>
        <v>#VALUE!</v>
      </c>
      <c r="AX37" s="21" t="e">
        <f>INT(AW37)</f>
        <v>#VALUE!</v>
      </c>
      <c r="AY37" s="59" t="e">
        <f>(AW37-INT(AW37))*60</f>
        <v>#VALUE!</v>
      </c>
      <c r="AZ37" t="s">
        <v>34</v>
      </c>
      <c r="BA37" s="79" t="s">
        <v>231</v>
      </c>
      <c r="BK37" s="17" t="s">
        <v>220</v>
      </c>
      <c r="BL37" s="61" t="e">
        <f>IF((BL43+BL55)&lt;0,BL43+BL55+360,IF((BL43+BL55)&gt;360,(BL43+BL55)-360,BL43+BL55))</f>
        <v>#VALUE!</v>
      </c>
      <c r="BM37" s="21" t="e">
        <f>INT(BL37)</f>
        <v>#VALUE!</v>
      </c>
      <c r="BN37" s="59" t="e">
        <f>(BL37-INT(BL37))*60</f>
        <v>#VALUE!</v>
      </c>
      <c r="BO37" t="s">
        <v>34</v>
      </c>
      <c r="BP37" s="79" t="s">
        <v>231</v>
      </c>
      <c r="BZ37" s="17" t="s">
        <v>220</v>
      </c>
      <c r="CA37" s="61">
        <f>IF((CA43+CA55)&lt;0,CA43+CA55+360,IF((CA43+CA55)&gt;360,(CA43+CA55)-360,CA43+CA55))</f>
        <v>24.485588799999874</v>
      </c>
      <c r="CB37" s="21">
        <f>INT(CA37)</f>
        <v>24</v>
      </c>
      <c r="CC37" s="59">
        <f>(CA37-INT(CA37))*60</f>
        <v>29.135327999992455</v>
      </c>
      <c r="CD37" t="s">
        <v>34</v>
      </c>
      <c r="CE37" s="79" t="s">
        <v>231</v>
      </c>
      <c r="CW37" s="423"/>
      <c r="CX37" s="224"/>
      <c r="CY37" s="224"/>
      <c r="CZ37" s="224"/>
      <c r="DA37" s="224"/>
      <c r="DB37" s="224"/>
      <c r="DC37" s="224"/>
      <c r="DD37" s="224"/>
      <c r="DE37" s="224"/>
      <c r="DF37" s="224"/>
      <c r="DG37" s="424"/>
    </row>
    <row r="38" spans="3:111" ht="12.75">
      <c r="C38" s="26"/>
      <c r="D38" s="61">
        <f>IF(D37&gt;180,360-D37,D37)</f>
        <v>39.53711520000006</v>
      </c>
      <c r="E38" s="21">
        <f>INT(D38)</f>
        <v>39</v>
      </c>
      <c r="F38" s="59">
        <f>(D38-INT(D38))*60</f>
        <v>32.22691200000355</v>
      </c>
      <c r="G38" s="26" t="str">
        <f>IF(D37&gt;180,"E","W")</f>
        <v>W</v>
      </c>
      <c r="H38" s="79" t="s">
        <v>226</v>
      </c>
      <c r="O38" s="26"/>
      <c r="R38" s="26"/>
      <c r="S38" s="61">
        <f>IF(S37&gt;180,360-S37,S37)</f>
        <v>104.58048639999997</v>
      </c>
      <c r="T38" s="21">
        <f>INT(S38)</f>
        <v>104</v>
      </c>
      <c r="U38" s="59">
        <f>(S38-INT(S38))*60</f>
        <v>34.82918399999818</v>
      </c>
      <c r="V38" s="26" t="str">
        <f>IF(S37&gt;180,"E","W")</f>
        <v>W</v>
      </c>
      <c r="W38" s="79" t="s">
        <v>226</v>
      </c>
      <c r="Y38" s="97"/>
      <c r="Z38" s="98"/>
      <c r="AA38" s="26"/>
      <c r="AB38" s="26"/>
      <c r="AG38" s="26"/>
      <c r="AH38" s="61">
        <f>IF(AH37&gt;180,360-AH37,AH37)</f>
        <v>72.07352799999995</v>
      </c>
      <c r="AI38" s="21">
        <f>INT(AH38)</f>
        <v>72</v>
      </c>
      <c r="AJ38" s="59">
        <f>(AH38-INT(AH38))*60</f>
        <v>4.4116799999972045</v>
      </c>
      <c r="AK38" s="26" t="str">
        <f>IF(AH37&gt;180,"E","W")</f>
        <v>E</v>
      </c>
      <c r="AL38" s="79" t="s">
        <v>226</v>
      </c>
      <c r="AN38" s="97"/>
      <c r="AV38" s="26"/>
      <c r="AW38" s="61" t="e">
        <f>IF(AW37&gt;180,360-AW37,AW37)</f>
        <v>#VALUE!</v>
      </c>
      <c r="AX38" s="21" t="e">
        <f>INT(AW38)</f>
        <v>#VALUE!</v>
      </c>
      <c r="AY38" s="59" t="e">
        <f>(AW38-INT(AW38))*60</f>
        <v>#VALUE!</v>
      </c>
      <c r="AZ38" s="26" t="e">
        <f>IF(AW37&gt;180,"E","W")</f>
        <v>#VALUE!</v>
      </c>
      <c r="BA38" s="79" t="s">
        <v>226</v>
      </c>
      <c r="BK38" s="26"/>
      <c r="BL38" s="61" t="e">
        <f>IF(BL37&gt;180,360-BL37,BL37)</f>
        <v>#VALUE!</v>
      </c>
      <c r="BM38" s="21" t="e">
        <f>INT(BL38)</f>
        <v>#VALUE!</v>
      </c>
      <c r="BN38" s="59" t="e">
        <f>(BL38-INT(BL38))*60</f>
        <v>#VALUE!</v>
      </c>
      <c r="BO38" s="26" t="e">
        <f>IF(BL37&gt;180,"E","W")</f>
        <v>#VALUE!</v>
      </c>
      <c r="BP38" s="79" t="s">
        <v>226</v>
      </c>
      <c r="BZ38" s="26"/>
      <c r="CA38" s="61">
        <f>IF(CA37&gt;180,360-CA37,CA37)</f>
        <v>24.485588799999874</v>
      </c>
      <c r="CB38" s="21">
        <f>INT(CA38)</f>
        <v>24</v>
      </c>
      <c r="CC38" s="59">
        <f>(CA38-INT(CA38))*60</f>
        <v>29.135327999992455</v>
      </c>
      <c r="CD38" s="26" t="str">
        <f>IF(CA37&gt;180,"E","W")</f>
        <v>W</v>
      </c>
      <c r="CE38" s="79" t="s">
        <v>226</v>
      </c>
      <c r="CW38" s="423"/>
      <c r="CX38" s="488" t="s">
        <v>368</v>
      </c>
      <c r="CY38" s="226"/>
      <c r="CZ38" s="226"/>
      <c r="DA38" s="226"/>
      <c r="DB38" s="226"/>
      <c r="DC38" s="227"/>
      <c r="DD38" s="224"/>
      <c r="DE38" s="224"/>
      <c r="DF38" s="224"/>
      <c r="DG38" s="424"/>
    </row>
    <row r="39" spans="15:111" ht="12.75">
      <c r="O39" s="26"/>
      <c r="Y39" s="97"/>
      <c r="Z39" s="98"/>
      <c r="AA39" s="26"/>
      <c r="AB39" s="26"/>
      <c r="AN39" s="97"/>
      <c r="CW39" s="423"/>
      <c r="CX39" s="228"/>
      <c r="CY39" s="224"/>
      <c r="CZ39" s="224"/>
      <c r="DA39" s="224"/>
      <c r="DB39" s="224"/>
      <c r="DC39" s="229"/>
      <c r="DD39" s="224"/>
      <c r="DE39" s="224"/>
      <c r="DF39" s="224"/>
      <c r="DG39" s="424"/>
    </row>
    <row r="40" spans="3:111" ht="12.75">
      <c r="C40" s="14" t="s">
        <v>40</v>
      </c>
      <c r="D40" s="20">
        <f>D64-INT(D64/360)*360</f>
        <v>161.13991520000002</v>
      </c>
      <c r="E40" s="21">
        <f>INT(D40)</f>
        <v>161</v>
      </c>
      <c r="F40" s="59">
        <f>(D40-INT(D40))*60</f>
        <v>8.394912000001113</v>
      </c>
      <c r="H40" s="79" t="s">
        <v>401</v>
      </c>
      <c r="O40" s="26"/>
      <c r="R40" s="14" t="s">
        <v>40</v>
      </c>
      <c r="S40" s="20">
        <f>S64-INT(S64/360)*360</f>
        <v>161.66688639999995</v>
      </c>
      <c r="T40" s="21">
        <f>INT(S40)</f>
        <v>161</v>
      </c>
      <c r="U40" s="59">
        <f>(S40-INT(S40))*60</f>
        <v>40.01318399999718</v>
      </c>
      <c r="W40" s="79" t="s">
        <v>401</v>
      </c>
      <c r="Y40" s="97"/>
      <c r="Z40" s="26"/>
      <c r="AA40" s="26"/>
      <c r="AB40" s="26"/>
      <c r="AG40" s="14" t="s">
        <v>40</v>
      </c>
      <c r="AH40" s="20">
        <f>AH64-INT(AH64/360)*360</f>
        <v>162.162872</v>
      </c>
      <c r="AI40" s="21">
        <f>INT(AH40)</f>
        <v>162</v>
      </c>
      <c r="AJ40" s="59">
        <f>(AH40-INT(AH40))*60</f>
        <v>9.772319999999581</v>
      </c>
      <c r="AL40" s="79" t="s">
        <v>401</v>
      </c>
      <c r="AN40" s="97"/>
      <c r="AV40" s="14" t="s">
        <v>40</v>
      </c>
      <c r="AW40" s="20" t="e">
        <f>AW64-INT(AW64/360)*360</f>
        <v>#VALUE!</v>
      </c>
      <c r="AX40" s="21" t="e">
        <f>INT(AW40)</f>
        <v>#VALUE!</v>
      </c>
      <c r="AY40" s="59" t="e">
        <f>(AW40-INT(AW40))*60</f>
        <v>#VALUE!</v>
      </c>
      <c r="BA40" s="79" t="s">
        <v>401</v>
      </c>
      <c r="BK40" s="14" t="s">
        <v>40</v>
      </c>
      <c r="BL40" s="20" t="e">
        <f>BL64-INT(BL64/360)*360</f>
        <v>#VALUE!</v>
      </c>
      <c r="BM40" s="21" t="e">
        <f>INT(BL40)</f>
        <v>#VALUE!</v>
      </c>
      <c r="BN40" s="59" t="e">
        <f>(BL40-INT(BL40))*60</f>
        <v>#VALUE!</v>
      </c>
      <c r="BP40" s="79" t="s">
        <v>401</v>
      </c>
      <c r="BZ40" s="14" t="s">
        <v>40</v>
      </c>
      <c r="CA40" s="20">
        <f>CA64-INT(CA64/360)*360</f>
        <v>56.33698879999997</v>
      </c>
      <c r="CB40" s="21">
        <f>INT(CA40)</f>
        <v>56</v>
      </c>
      <c r="CC40" s="59">
        <f>(CA40-INT(CA40))*60</f>
        <v>20.219327999998313</v>
      </c>
      <c r="CE40" s="79" t="s">
        <v>401</v>
      </c>
      <c r="CW40" s="423"/>
      <c r="CX40" s="452" t="s">
        <v>102</v>
      </c>
      <c r="CY40" s="453">
        <f>$P$168</f>
        <v>26</v>
      </c>
      <c r="CZ40" s="454">
        <f>$Q$168</f>
        <v>8.726050950147766</v>
      </c>
      <c r="DA40" s="463" t="str">
        <f>$R$168</f>
        <v>N</v>
      </c>
      <c r="DB40" s="462" t="str">
        <f>IF($C$17="","",CONCATENATE(TEXT($K$171,"0"),TEXT($L$171,"000,0°  -  "),TEXT($M$171,"0,00'")))</f>
        <v>C =   046,7° - 4,97'</v>
      </c>
      <c r="DC40" s="229"/>
      <c r="DD40" s="224"/>
      <c r="DE40" s="224"/>
      <c r="DF40" s="224"/>
      <c r="DG40" s="424"/>
    </row>
    <row r="41" spans="3:111" ht="13.5" thickBot="1">
      <c r="C41" s="14" t="s">
        <v>39</v>
      </c>
      <c r="D41" s="20">
        <f>IF((D40+D55)&lt;0,D40+D55+360,D40+D55)</f>
        <v>140.80991520000003</v>
      </c>
      <c r="E41" s="21">
        <f>INT(D41)</f>
        <v>140</v>
      </c>
      <c r="F41" s="59">
        <f>(D41-INT(D41))*60</f>
        <v>48.59491200000207</v>
      </c>
      <c r="G41" t="s">
        <v>34</v>
      </c>
      <c r="H41" s="79" t="s">
        <v>78</v>
      </c>
      <c r="O41" s="26"/>
      <c r="R41" s="14" t="s">
        <v>39</v>
      </c>
      <c r="S41" s="20">
        <f>IF((S40+S55)&lt;0,S40+S55+360,S40+S55)</f>
        <v>141.33688639999997</v>
      </c>
      <c r="T41" s="21">
        <f>INT(S41)</f>
        <v>141</v>
      </c>
      <c r="U41" s="59">
        <f>(S41-INT(S41))*60</f>
        <v>20.213183999998137</v>
      </c>
      <c r="V41" t="s">
        <v>34</v>
      </c>
      <c r="W41" s="79" t="s">
        <v>78</v>
      </c>
      <c r="Y41" s="100"/>
      <c r="Z41" s="101"/>
      <c r="AA41" s="26"/>
      <c r="AB41" s="26"/>
      <c r="AG41" s="14" t="s">
        <v>39</v>
      </c>
      <c r="AH41" s="20">
        <f>IF((AH40+AH55)&lt;0,AH40+AH55+360,AH40+AH55)</f>
        <v>141.832872</v>
      </c>
      <c r="AI41" s="21">
        <f>INT(AH41)</f>
        <v>141</v>
      </c>
      <c r="AJ41" s="59">
        <f>(AH41-INT(AH41))*60</f>
        <v>49.972320000000536</v>
      </c>
      <c r="AK41" t="s">
        <v>34</v>
      </c>
      <c r="AL41" s="79" t="s">
        <v>78</v>
      </c>
      <c r="AN41" s="100"/>
      <c r="AV41" s="14" t="s">
        <v>39</v>
      </c>
      <c r="AW41" s="20" t="e">
        <f>IF((AW40+AW55)&lt;0,AW40+AW55+360,AW40+AW55)</f>
        <v>#VALUE!</v>
      </c>
      <c r="AX41" s="21" t="e">
        <f>INT(AW41)</f>
        <v>#VALUE!</v>
      </c>
      <c r="AY41" s="59" t="e">
        <f>(AW41-INT(AW41))*60</f>
        <v>#VALUE!</v>
      </c>
      <c r="AZ41" t="s">
        <v>34</v>
      </c>
      <c r="BA41" s="79" t="s">
        <v>78</v>
      </c>
      <c r="BK41" s="14" t="s">
        <v>39</v>
      </c>
      <c r="BL41" s="20" t="e">
        <f>IF((BL40+BL55)&lt;0,BL40+BL55+360,BL40+BL55)</f>
        <v>#VALUE!</v>
      </c>
      <c r="BM41" s="21" t="e">
        <f>INT(BL41)</f>
        <v>#VALUE!</v>
      </c>
      <c r="BN41" s="59" t="e">
        <f>(BL41-INT(BL41))*60</f>
        <v>#VALUE!</v>
      </c>
      <c r="BO41" t="s">
        <v>34</v>
      </c>
      <c r="BP41" s="79" t="s">
        <v>78</v>
      </c>
      <c r="BZ41" s="14" t="s">
        <v>39</v>
      </c>
      <c r="CA41" s="20">
        <f>IF((CA40+CA55)&lt;0,CA40+CA55+360,CA40+CA55)</f>
        <v>61.24198879999997</v>
      </c>
      <c r="CB41" s="21">
        <f>INT(CA41)</f>
        <v>61</v>
      </c>
      <c r="CC41" s="59">
        <f>(CA41-INT(CA41))*60</f>
        <v>14.519327999998382</v>
      </c>
      <c r="CD41" t="s">
        <v>34</v>
      </c>
      <c r="CE41" s="79" t="s">
        <v>78</v>
      </c>
      <c r="CW41" s="423"/>
      <c r="CX41" s="456" t="s">
        <v>103</v>
      </c>
      <c r="CY41" s="457">
        <f>$P$167</f>
        <v>20</v>
      </c>
      <c r="CZ41" s="458">
        <f>$Q$167</f>
        <v>15.774207503454747</v>
      </c>
      <c r="DA41" s="464" t="str">
        <f>$R$167</f>
        <v>W</v>
      </c>
      <c r="DB41" s="465"/>
      <c r="DC41" s="466"/>
      <c r="DD41" s="224"/>
      <c r="DE41" s="224"/>
      <c r="DF41" s="224"/>
      <c r="DG41" s="424"/>
    </row>
    <row r="42" spans="3:111" ht="12.75">
      <c r="C42" s="94" t="s">
        <v>155</v>
      </c>
      <c r="D42" s="20">
        <f>D69-INT(D69/360)*360</f>
        <v>258.72720000000004</v>
      </c>
      <c r="E42" s="21">
        <f>INT(D42)</f>
        <v>258</v>
      </c>
      <c r="F42" s="59">
        <f>(D42-INT(D42))*60</f>
        <v>43.632000000002336</v>
      </c>
      <c r="H42" s="79" t="s">
        <v>357</v>
      </c>
      <c r="O42" s="26"/>
      <c r="R42" s="94" t="s">
        <v>155</v>
      </c>
      <c r="S42" s="20">
        <f>S69-INT(S69/360)*360</f>
        <v>323.2436</v>
      </c>
      <c r="T42" s="21">
        <f>INT(S42)</f>
        <v>323</v>
      </c>
      <c r="U42" s="59">
        <f>(S42-INT(S42))*60</f>
        <v>14.616000000000895</v>
      </c>
      <c r="W42" s="79" t="s">
        <v>357</v>
      </c>
      <c r="Y42" s="100"/>
      <c r="Z42" s="101"/>
      <c r="AA42" s="26"/>
      <c r="AB42" s="26"/>
      <c r="AG42" s="94" t="s">
        <v>155</v>
      </c>
      <c r="AH42" s="20">
        <f>AH69-INT(AH69/360)*360</f>
        <v>146.0936</v>
      </c>
      <c r="AI42" s="21">
        <f>INT(AH42)</f>
        <v>146</v>
      </c>
      <c r="AJ42" s="59">
        <f>(AH42-INT(AH42))*60</f>
        <v>5.616000000000554</v>
      </c>
      <c r="AL42" s="79" t="s">
        <v>357</v>
      </c>
      <c r="AN42" s="100"/>
      <c r="AV42" s="94" t="s">
        <v>155</v>
      </c>
      <c r="AW42" s="20" t="e">
        <f>AW69-INT(AW69/360)*360</f>
        <v>#VALUE!</v>
      </c>
      <c r="AX42" s="21" t="e">
        <f>INT(AW42)</f>
        <v>#VALUE!</v>
      </c>
      <c r="AY42" s="59" t="e">
        <f>(AW42-INT(AW42))*60</f>
        <v>#VALUE!</v>
      </c>
      <c r="BA42" s="79" t="s">
        <v>357</v>
      </c>
      <c r="BK42" s="94" t="s">
        <v>155</v>
      </c>
      <c r="BL42" s="20" t="e">
        <f>BL69-INT(BL69/360)*360</f>
        <v>#VALUE!</v>
      </c>
      <c r="BM42" s="21" t="e">
        <f>INT(BL42)</f>
        <v>#VALUE!</v>
      </c>
      <c r="BN42" s="59" t="e">
        <f>(BL42-INT(BL42))*60</f>
        <v>#VALUE!</v>
      </c>
      <c r="BP42" s="79" t="s">
        <v>357</v>
      </c>
      <c r="BZ42" s="94" t="s">
        <v>155</v>
      </c>
      <c r="CA42" s="20">
        <f>CA69-INT(CA69/360)*360</f>
        <v>323.2436</v>
      </c>
      <c r="CB42" s="21">
        <f>INT(CA42)</f>
        <v>323</v>
      </c>
      <c r="CC42" s="59">
        <f>(CA42-INT(CA42))*60</f>
        <v>14.616000000000895</v>
      </c>
      <c r="CE42" s="79" t="s">
        <v>357</v>
      </c>
      <c r="CW42" s="423"/>
      <c r="CX42" s="224"/>
      <c r="CY42" s="224"/>
      <c r="CZ42" s="224"/>
      <c r="DA42" s="224"/>
      <c r="DB42" s="224"/>
      <c r="DC42" s="224"/>
      <c r="DD42" s="224"/>
      <c r="DE42" s="224"/>
      <c r="DF42" s="224"/>
      <c r="DG42" s="424"/>
    </row>
    <row r="43" spans="3:111" ht="12.75">
      <c r="C43" s="14" t="s">
        <v>221</v>
      </c>
      <c r="D43" s="20">
        <f>D70-INT(D70/360)*360</f>
        <v>59.86711520000006</v>
      </c>
      <c r="E43" s="21">
        <f>INT(D43)</f>
        <v>59</v>
      </c>
      <c r="F43" s="59">
        <f>(D43-INT(D43))*60</f>
        <v>52.02691200000345</v>
      </c>
      <c r="H43" s="79" t="s">
        <v>405</v>
      </c>
      <c r="O43" s="26"/>
      <c r="R43" s="14" t="s">
        <v>221</v>
      </c>
      <c r="S43" s="20">
        <f>S70-INT(S70/360)*360</f>
        <v>124.91048639999997</v>
      </c>
      <c r="T43" s="21">
        <f>INT(S43)</f>
        <v>124</v>
      </c>
      <c r="U43" s="59">
        <f>(S43-INT(S43))*60</f>
        <v>54.62918399999808</v>
      </c>
      <c r="W43" s="79" t="s">
        <v>405</v>
      </c>
      <c r="Y43" s="102"/>
      <c r="Z43" s="98"/>
      <c r="AA43" s="26"/>
      <c r="AB43" s="26"/>
      <c r="AG43" s="14" t="s">
        <v>221</v>
      </c>
      <c r="AH43" s="20">
        <f>AH70-INT(AH70/360)*360</f>
        <v>308.25647200000003</v>
      </c>
      <c r="AI43" s="21">
        <f>INT(AH43)</f>
        <v>308</v>
      </c>
      <c r="AJ43" s="59">
        <f>(AH43-INT(AH43))*60</f>
        <v>15.38832000000184</v>
      </c>
      <c r="AL43" s="79" t="s">
        <v>405</v>
      </c>
      <c r="AN43" s="102"/>
      <c r="AV43" s="14" t="s">
        <v>221</v>
      </c>
      <c r="AW43" s="20" t="e">
        <f>AW70-INT(AW70/360)*360</f>
        <v>#VALUE!</v>
      </c>
      <c r="AX43" s="21" t="e">
        <f>INT(AW43)</f>
        <v>#VALUE!</v>
      </c>
      <c r="AY43" s="59" t="e">
        <f>(AW43-INT(AW43))*60</f>
        <v>#VALUE!</v>
      </c>
      <c r="BA43" s="79" t="s">
        <v>405</v>
      </c>
      <c r="BK43" s="14" t="s">
        <v>221</v>
      </c>
      <c r="BL43" s="20" t="e">
        <f>BL70-INT(BL70/360)*360</f>
        <v>#VALUE!</v>
      </c>
      <c r="BM43" s="21" t="e">
        <f>INT(BL43)</f>
        <v>#VALUE!</v>
      </c>
      <c r="BN43" s="59" t="e">
        <f>(BL43-INT(BL43))*60</f>
        <v>#VALUE!</v>
      </c>
      <c r="BP43" s="79" t="s">
        <v>405</v>
      </c>
      <c r="BZ43" s="14" t="s">
        <v>221</v>
      </c>
      <c r="CA43" s="20">
        <f>CA70-INT(CA70/360)*360</f>
        <v>19.580588799999873</v>
      </c>
      <c r="CB43" s="21">
        <f>INT(CA43)</f>
        <v>19</v>
      </c>
      <c r="CC43" s="59">
        <f>(CA43-INT(CA43))*60</f>
        <v>34.83532799999239</v>
      </c>
      <c r="CE43" s="79" t="s">
        <v>405</v>
      </c>
      <c r="CW43" s="423"/>
      <c r="CX43" s="224"/>
      <c r="CY43" s="224"/>
      <c r="CZ43" s="224"/>
      <c r="DA43" s="224"/>
      <c r="DB43" s="224"/>
      <c r="DC43" s="224"/>
      <c r="DD43" s="224"/>
      <c r="DE43" s="224"/>
      <c r="DF43" s="224"/>
      <c r="DG43" s="424"/>
    </row>
    <row r="44" spans="3:111" ht="12.75">
      <c r="C44" s="22" t="s">
        <v>222</v>
      </c>
      <c r="D44" s="25">
        <f>D73</f>
        <v>-16.6722</v>
      </c>
      <c r="E44" s="21">
        <f>IF(D44&lt;0,IF((INT(D44)+1)=0,"-0°",INT(D44)+1),INT(D44))</f>
        <v>-16</v>
      </c>
      <c r="F44" s="59">
        <f>IF(D44&lt;0,-(D44-E44)*60,(D44-INT(D44))*60)</f>
        <v>40.33200000000001</v>
      </c>
      <c r="H44" s="79" t="s">
        <v>227</v>
      </c>
      <c r="O44" s="26"/>
      <c r="R44" s="22" t="s">
        <v>222</v>
      </c>
      <c r="S44" s="25">
        <f>S73</f>
        <v>89.2576</v>
      </c>
      <c r="T44" s="21">
        <f>IF(S44&lt;0,IF((INT(S44)+1)=0,"-0°",INT(S44)+1),INT(S44))</f>
        <v>89</v>
      </c>
      <c r="U44" s="59">
        <f>IF(S44&lt;0,-(S44-T44)*60,(S44-INT(S44))*60)</f>
        <v>15.45599999999979</v>
      </c>
      <c r="W44" s="79" t="s">
        <v>227</v>
      </c>
      <c r="Y44" s="26"/>
      <c r="Z44" s="26"/>
      <c r="AA44" s="26"/>
      <c r="AB44" s="26"/>
      <c r="AG44" s="22" t="s">
        <v>222</v>
      </c>
      <c r="AH44" s="25">
        <f>AH73</f>
        <v>19.1884</v>
      </c>
      <c r="AI44" s="21">
        <f>IF(AH44&lt;0,IF((INT(AH44)+1)=0,"-0°",INT(AH44)+1),INT(AH44))</f>
        <v>19</v>
      </c>
      <c r="AJ44" s="59">
        <f>IF(AH44&lt;0,-(AH44-AI44)*60,(AH44-INT(AH44))*60)</f>
        <v>11.304000000000087</v>
      </c>
      <c r="AL44" s="79" t="s">
        <v>227</v>
      </c>
      <c r="AN44" s="26"/>
      <c r="AV44" s="22" t="s">
        <v>222</v>
      </c>
      <c r="AW44" s="25" t="e">
        <f>AW73</f>
        <v>#VALUE!</v>
      </c>
      <c r="AX44" s="21" t="e">
        <f>IF(AW44&lt;0,IF((INT(AW44)+1)=0,"-0°",INT(AW44)+1),INT(AW44))</f>
        <v>#VALUE!</v>
      </c>
      <c r="AY44" s="59" t="e">
        <f>IF(AW44&lt;0,-(AW44-AX44)*60,(AW44-INT(AW44))*60)</f>
        <v>#VALUE!</v>
      </c>
      <c r="BA44" s="79" t="s">
        <v>227</v>
      </c>
      <c r="BK44" s="22" t="s">
        <v>222</v>
      </c>
      <c r="BL44" s="25" t="e">
        <f>BL73</f>
        <v>#VALUE!</v>
      </c>
      <c r="BM44" s="21" t="e">
        <f>IF(BL44&lt;0,IF((INT(BL44)+1)=0,"-0°",INT(BL44)+1),INT(BL44))</f>
        <v>#VALUE!</v>
      </c>
      <c r="BN44" s="59" t="e">
        <f>IF(BL44&lt;0,-(BL44-BM44)*60,(BL44-INT(BL44))*60)</f>
        <v>#VALUE!</v>
      </c>
      <c r="BP44" s="79" t="s">
        <v>227</v>
      </c>
      <c r="BZ44" s="22" t="s">
        <v>222</v>
      </c>
      <c r="CA44" s="25">
        <f>CA73</f>
        <v>89.2576</v>
      </c>
      <c r="CB44" s="21">
        <f>IF(CA44&lt;0,IF((INT(CA44)+1)=0,"-0°",INT(CA44)+1),INT(CA44))</f>
        <v>89</v>
      </c>
      <c r="CC44" s="59">
        <f>IF(CA44&lt;0,-(CA44-CB44)*60,(CA44-INT(CA44))*60)</f>
        <v>15.45599999999979</v>
      </c>
      <c r="CE44" s="79" t="s">
        <v>227</v>
      </c>
      <c r="CW44" s="423"/>
      <c r="CX44" s="224"/>
      <c r="CY44" s="224"/>
      <c r="CZ44" s="224"/>
      <c r="DA44" s="224"/>
      <c r="DB44" s="224"/>
      <c r="DC44" s="224"/>
      <c r="DD44" s="224"/>
      <c r="DE44" s="224"/>
      <c r="DF44" s="224"/>
      <c r="DG44" s="424"/>
    </row>
    <row r="45" spans="5:111" ht="12.75">
      <c r="E45" s="21"/>
      <c r="O45" s="26"/>
      <c r="T45" s="21"/>
      <c r="Y45" s="26"/>
      <c r="Z45" s="26"/>
      <c r="AA45" s="26"/>
      <c r="AB45" s="26"/>
      <c r="AI45" s="21"/>
      <c r="AN45" s="26"/>
      <c r="AX45" s="21"/>
      <c r="BM45" s="21"/>
      <c r="CB45" s="21"/>
      <c r="CW45" s="423"/>
      <c r="CX45" s="224"/>
      <c r="CY45" s="224"/>
      <c r="CZ45" s="224"/>
      <c r="DA45" s="224"/>
      <c r="DB45" s="224"/>
      <c r="DC45" s="224"/>
      <c r="DD45" s="224"/>
      <c r="DE45" s="224"/>
      <c r="DF45" s="224"/>
      <c r="DG45" s="424"/>
    </row>
    <row r="46" spans="3:111" ht="15.75">
      <c r="C46" s="14" t="s">
        <v>223</v>
      </c>
      <c r="D46" s="61">
        <f>H27+(I27+I28+I29+I30+I31+I32)/60</f>
        <v>32.411079309545386</v>
      </c>
      <c r="E46" s="60">
        <f>IF(D46&lt;0,IF((INT(D46)+1)=0,"-0°",INT(D46)+1),INT(D46))</f>
        <v>32</v>
      </c>
      <c r="F46" s="59">
        <f>IF(D46&lt;0,-(D46-E46)*60,(D46-INT(D46))*60)</f>
        <v>24.664758572723144</v>
      </c>
      <c r="H46" s="79" t="s">
        <v>228</v>
      </c>
      <c r="O46" s="26"/>
      <c r="R46" s="14" t="s">
        <v>223</v>
      </c>
      <c r="S46" s="61">
        <f>W27+(X27+X28+X29+X30+X31+X32)/60</f>
        <v>25.9440349748151</v>
      </c>
      <c r="T46" s="60">
        <f>IF(S46&lt;0,IF((INT(S46)+1)=0,"-0°",INT(S46)+1),INT(S46))</f>
        <v>25</v>
      </c>
      <c r="U46" s="59">
        <f>IF(S46&lt;0,-(S46-T46)*60,(S46-INT(S46))*60)</f>
        <v>56.642098488906</v>
      </c>
      <c r="W46" s="79" t="s">
        <v>228</v>
      </c>
      <c r="Y46" s="26"/>
      <c r="Z46" s="26"/>
      <c r="AA46" s="26"/>
      <c r="AB46" s="26"/>
      <c r="AG46" s="14" t="s">
        <v>223</v>
      </c>
      <c r="AH46" s="61">
        <f>AL27+(AM27+AM28+AM29+AM30+AM31+AM32)/60</f>
        <v>23.98722825536134</v>
      </c>
      <c r="AI46" s="60">
        <f>IF(AH46&lt;0,IF((INT(AH46)+1)=0,"-0°",INT(AH46)+1),INT(AH46))</f>
        <v>23</v>
      </c>
      <c r="AJ46" s="59">
        <f>IF(AH46&lt;0,-(AH46-AI46)*60,(AH46-INT(AH46))*60)</f>
        <v>59.23369532168046</v>
      </c>
      <c r="AL46" s="79" t="s">
        <v>228</v>
      </c>
      <c r="AN46" s="26"/>
      <c r="AV46" s="14" t="s">
        <v>223</v>
      </c>
      <c r="AW46" s="61" t="e">
        <f>BA27+(BB27+BB28+BB29+BB30+BB31+BB32)/60</f>
        <v>#VALUE!</v>
      </c>
      <c r="AX46" s="60" t="e">
        <f>IF(AW46&lt;0,IF((INT(AW46)+1)=0,"-0°",INT(AW46)+1),INT(AW46))</f>
        <v>#VALUE!</v>
      </c>
      <c r="AY46" s="59" t="e">
        <f>IF(AW46&lt;0,-(AW46-AX46)*60,(AW46-INT(AW46))*60)</f>
        <v>#VALUE!</v>
      </c>
      <c r="BA46" s="79" t="s">
        <v>228</v>
      </c>
      <c r="BK46" s="14" t="s">
        <v>223</v>
      </c>
      <c r="BL46" s="61" t="e">
        <f>BP27+(BQ27+BQ28+BQ29+BQ30+BQ31+BQ32)/60</f>
        <v>#VALUE!</v>
      </c>
      <c r="BM46" s="60" t="e">
        <f>IF(BL46&lt;0,IF((INT(BL46)+1)=0,"-0°",INT(BL46)+1),INT(BL46))</f>
        <v>#VALUE!</v>
      </c>
      <c r="BN46" s="59" t="e">
        <f>IF(BL46&lt;0,-(BL46-BM46)*60,(BL46-INT(BL46))*60)</f>
        <v>#VALUE!</v>
      </c>
      <c r="BP46" s="79" t="s">
        <v>228</v>
      </c>
      <c r="BZ46" s="14"/>
      <c r="CA46" s="61"/>
      <c r="CB46" s="60"/>
      <c r="CC46" s="59"/>
      <c r="CE46" s="79"/>
      <c r="CW46" s="423"/>
      <c r="CX46" s="224"/>
      <c r="CY46" s="224"/>
      <c r="CZ46" s="224"/>
      <c r="DA46" s="224"/>
      <c r="DB46" s="224"/>
      <c r="DC46" s="224"/>
      <c r="DD46" s="224"/>
      <c r="DE46" s="224"/>
      <c r="DF46" s="224"/>
      <c r="DG46" s="424"/>
    </row>
    <row r="47" spans="3:111" ht="15.75">
      <c r="C47" s="85" t="s">
        <v>224</v>
      </c>
      <c r="D47" s="86">
        <f>DEGREES(ASIN(SIN(RADIANS(D54))*SIN(RADIANS(D44))+COS(RADIANS(D54))*COS(RADIANS(D44))*COS(RADIANS(D38))))</f>
        <v>32.50370613708919</v>
      </c>
      <c r="E47" s="60">
        <f>IF(D47&lt;0,IF((INT(D47)+1)=0,"-0°",INT(D47)+1),INT(D47))</f>
        <v>32</v>
      </c>
      <c r="F47" s="59">
        <f>IF(D47&lt;0,-(D47-E47)*60,(D47-INT(D47))*60)</f>
        <v>30.222368225351346</v>
      </c>
      <c r="H47" s="79" t="s">
        <v>229</v>
      </c>
      <c r="O47" s="26"/>
      <c r="R47" s="85" t="s">
        <v>224</v>
      </c>
      <c r="S47" s="86">
        <f>DEGREES(ASIN(SIN(RADIANS(S54))*SIN(RADIANS(S44))+COS(RADIANS(S54))*COS(RADIANS(S44))*COS(RADIANS(S38))))</f>
        <v>25.899577667275523</v>
      </c>
      <c r="T47" s="60">
        <f>IF(S47&lt;0,IF((INT(S47)+1)=0,"-0°",INT(S47)+1),INT(S47))</f>
        <v>25</v>
      </c>
      <c r="U47" s="59">
        <f>IF(S47&lt;0,-(S47-T47)*60,(S47-INT(S47))*60)</f>
        <v>53.97466003653136</v>
      </c>
      <c r="W47" s="79" t="s">
        <v>229</v>
      </c>
      <c r="Y47" s="26"/>
      <c r="Z47" s="26"/>
      <c r="AA47" s="26"/>
      <c r="AB47" s="26"/>
      <c r="AG47" s="85" t="s">
        <v>224</v>
      </c>
      <c r="AH47" s="86">
        <f>DEGREES(ASIN(SIN(RADIANS(AH54))*SIN(RADIANS(AH44))+COS(RADIANS(AH54))*COS(RADIANS(AH44))*COS(RADIANS(AH38))))</f>
        <v>23.929804813046893</v>
      </c>
      <c r="AI47" s="60">
        <f>IF(AH47&lt;0,IF((INT(AH47)+1)=0,"-0°",INT(AH47)+1),INT(AH47))</f>
        <v>23</v>
      </c>
      <c r="AJ47" s="59">
        <f>IF(AH47&lt;0,-(AH47-AI47)*60,(AH47-INT(AH47))*60)</f>
        <v>55.78828878281357</v>
      </c>
      <c r="AL47" s="79" t="s">
        <v>229</v>
      </c>
      <c r="AN47" s="26"/>
      <c r="AV47" s="85" t="s">
        <v>224</v>
      </c>
      <c r="AW47" s="86" t="e">
        <f>DEGREES(ASIN(SIN(RADIANS(AW54))*SIN(RADIANS(AW44))+COS(RADIANS(AW54))*COS(RADIANS(AW44))*COS(RADIANS(AW38))))</f>
        <v>#VALUE!</v>
      </c>
      <c r="AX47" s="60" t="e">
        <f>IF(AW47&lt;0,IF((INT(AW47)+1)=0,"-0°",INT(AW47)+1),INT(AW47))</f>
        <v>#VALUE!</v>
      </c>
      <c r="AY47" s="59" t="e">
        <f>IF(AW47&lt;0,-(AW47-AX47)*60,(AW47-INT(AW47))*60)</f>
        <v>#VALUE!</v>
      </c>
      <c r="BA47" s="79" t="s">
        <v>229</v>
      </c>
      <c r="BK47" s="85" t="s">
        <v>224</v>
      </c>
      <c r="BL47" s="86" t="e">
        <f>DEGREES(ASIN(SIN(RADIANS(BL54))*SIN(RADIANS(BL44))+COS(RADIANS(BL54))*COS(RADIANS(BL44))*COS(RADIANS(BL38))))</f>
        <v>#VALUE!</v>
      </c>
      <c r="BM47" s="60" t="e">
        <f>IF(BL47&lt;0,IF((INT(BL47)+1)=0,"-0°",INT(BL47)+1),INT(BL47))</f>
        <v>#VALUE!</v>
      </c>
      <c r="BN47" s="59" t="e">
        <f>IF(BL47&lt;0,-(BL47-BM47)*60,(BL47-INT(BL47))*60)</f>
        <v>#VALUE!</v>
      </c>
      <c r="BP47" s="79" t="s">
        <v>229</v>
      </c>
      <c r="BZ47" s="17" t="s">
        <v>224</v>
      </c>
      <c r="CA47" s="248">
        <f>DEGREES(ASIN(SIN(RADIANS(CA54))*SIN(RADIANS(CA44))+COS(RADIANS(CA54))*COS(RADIANS(CA44))*COS(RADIANS(CA38))))</f>
        <v>-42.713598083876</v>
      </c>
      <c r="CB47" s="60">
        <f>IF(CA47&lt;0,IF((INT(CA47)+1)=0,"-0°",INT(CA47)+1),INT(CA47))</f>
        <v>-42</v>
      </c>
      <c r="CC47" s="59">
        <f>IF(CA47&lt;0,-(CA47-CB47)*60,(CA47-INT(CA47))*60)</f>
        <v>42.81588503256003</v>
      </c>
      <c r="CE47" s="79" t="s">
        <v>229</v>
      </c>
      <c r="CW47" s="423"/>
      <c r="CX47" s="224"/>
      <c r="CY47" s="224"/>
      <c r="CZ47" s="224"/>
      <c r="DA47" s="224"/>
      <c r="DB47" s="224"/>
      <c r="DC47" s="224"/>
      <c r="DD47" s="224"/>
      <c r="DE47" s="224"/>
      <c r="DF47" s="224"/>
      <c r="DG47" s="424"/>
    </row>
    <row r="48" spans="3:111" ht="12.75">
      <c r="C48" s="14" t="s">
        <v>82</v>
      </c>
      <c r="D48" s="61">
        <f>D46-D47</f>
        <v>-0.09262682754380336</v>
      </c>
      <c r="E48" s="60" t="str">
        <f>IF(D48&lt;0,IF((INT(D48)+1)=0,"-0°",INT(D48)+1),INT(D48))</f>
        <v>-0°</v>
      </c>
      <c r="F48" s="59">
        <f>IF(D48&lt;0,-(D48-E48)*60,(D48-INT(D48))*60)</f>
        <v>5.5576096526282015</v>
      </c>
      <c r="H48" s="79" t="s">
        <v>83</v>
      </c>
      <c r="O48" s="26"/>
      <c r="R48" s="14" t="s">
        <v>82</v>
      </c>
      <c r="S48" s="61">
        <f>S46-S47</f>
        <v>0.04445730753957733</v>
      </c>
      <c r="T48" s="60">
        <f>IF(S48&lt;0,IF((INT(S48)+1)=0,"-0°",INT(S48)+1),INT(S48))</f>
        <v>0</v>
      </c>
      <c r="U48" s="59">
        <f>IF(S48&lt;0,-(S48-T48)*60,(S48-INT(S48))*60)</f>
        <v>2.6674384523746397</v>
      </c>
      <c r="W48" s="79" t="s">
        <v>83</v>
      </c>
      <c r="Y48" s="26"/>
      <c r="Z48" s="26"/>
      <c r="AA48" s="26"/>
      <c r="AB48" s="26"/>
      <c r="AG48" s="14" t="s">
        <v>82</v>
      </c>
      <c r="AH48" s="61">
        <f>AH46-AH47</f>
        <v>0.05742344231444818</v>
      </c>
      <c r="AI48" s="60">
        <f>IF(AH48&lt;0,IF((INT(AH48)+1)=0,"-0°",INT(AH48)+1),INT(AH48))</f>
        <v>0</v>
      </c>
      <c r="AJ48" s="59">
        <f>IF(AH48&lt;0,-(AH48-AI48)*60,(AH48-INT(AH48))*60)</f>
        <v>3.445406538866891</v>
      </c>
      <c r="AL48" s="79" t="s">
        <v>83</v>
      </c>
      <c r="AN48" s="26"/>
      <c r="AV48" s="14" t="s">
        <v>82</v>
      </c>
      <c r="AW48" s="61" t="e">
        <f>AW46-AW47</f>
        <v>#VALUE!</v>
      </c>
      <c r="AX48" s="60" t="e">
        <f>IF(AW48&lt;0,IF((INT(AW48)+1)=0,"-0°",INT(AW48)+1),INT(AW48))</f>
        <v>#VALUE!</v>
      </c>
      <c r="AY48" s="59" t="e">
        <f>IF(AW48&lt;0,-(AW48-AX48)*60,(AW48-INT(AW48))*60)</f>
        <v>#VALUE!</v>
      </c>
      <c r="BA48" s="79" t="s">
        <v>83</v>
      </c>
      <c r="BK48" s="14" t="s">
        <v>82</v>
      </c>
      <c r="BL48" s="61" t="e">
        <f>BL46-BL47</f>
        <v>#VALUE!</v>
      </c>
      <c r="BM48" s="60" t="e">
        <f>IF(BL48&lt;0,IF((INT(BL48)+1)=0,"-0°",INT(BL48)+1),INT(BL48))</f>
        <v>#VALUE!</v>
      </c>
      <c r="BN48" s="59" t="e">
        <f>IF(BL48&lt;0,-(BL48-BM48)*60,(BL48-INT(BL48))*60)</f>
        <v>#VALUE!</v>
      </c>
      <c r="BP48" s="79" t="s">
        <v>83</v>
      </c>
      <c r="BZ48" s="14" t="s">
        <v>225</v>
      </c>
      <c r="CA48" s="54">
        <f>IF(CC48="NW",360-CB48,IF(CC48="NE",CB48,IF(CC48="SW",180+CB48,180-CB48)))</f>
        <v>359.5812304224377</v>
      </c>
      <c r="CB48" s="181">
        <f>IF(CA79&lt;0,CA79+180,CA79)</f>
        <v>179.58123042243773</v>
      </c>
      <c r="CC48" s="52" t="str">
        <f>IF(CC28="N",IF(CA37&gt;180,"NE","NW"),IF(CA37&gt;180,"SE","SW"))</f>
        <v>SW</v>
      </c>
      <c r="CE48" s="79" t="s">
        <v>230</v>
      </c>
      <c r="CW48" s="423"/>
      <c r="CX48" s="224"/>
      <c r="CY48" s="224"/>
      <c r="CZ48" s="224"/>
      <c r="DA48" s="224"/>
      <c r="DB48" s="224"/>
      <c r="DC48" s="224"/>
      <c r="DD48" s="224"/>
      <c r="DE48" s="224"/>
      <c r="DF48" s="224"/>
      <c r="DG48" s="424"/>
    </row>
    <row r="49" spans="15:111" ht="12.75">
      <c r="O49" s="26"/>
      <c r="Y49" s="26"/>
      <c r="Z49" s="26"/>
      <c r="AA49" s="26"/>
      <c r="AB49" s="26"/>
      <c r="AN49" s="26"/>
      <c r="BZ49" s="14"/>
      <c r="CA49" s="54"/>
      <c r="CB49" s="181"/>
      <c r="CC49" s="52"/>
      <c r="CE49" s="79"/>
      <c r="CW49" s="423"/>
      <c r="CX49" s="224"/>
      <c r="CY49" s="224"/>
      <c r="CZ49" s="224"/>
      <c r="DA49" s="224"/>
      <c r="DB49" s="224"/>
      <c r="DC49" s="224"/>
      <c r="DD49" s="224"/>
      <c r="DE49" s="224"/>
      <c r="DF49" s="224"/>
      <c r="DG49" s="424"/>
    </row>
    <row r="50" spans="3:111" ht="12.75">
      <c r="C50" s="14" t="s">
        <v>225</v>
      </c>
      <c r="D50" s="54">
        <f>IF(F50="NW",360-E50,IF(F50="NE",E50,IF(F50="SW",180+E50,180-E50)))</f>
        <v>226.30965427320263</v>
      </c>
      <c r="E50" s="181">
        <f>IF(D79&lt;0,D79+180,D79)</f>
        <v>133.69034572679737</v>
      </c>
      <c r="F50" s="52" t="str">
        <f>IF(F28="N",IF(D37&gt;180,"NE","NW"),IF(D37&gt;180,"SE","SW"))</f>
        <v>NW</v>
      </c>
      <c r="H50" s="79" t="s">
        <v>230</v>
      </c>
      <c r="O50" s="26"/>
      <c r="R50" s="14" t="s">
        <v>225</v>
      </c>
      <c r="S50" s="54">
        <f>IF(U50="NW",360-T50,IF(U50="NE",T50,IF(U50="SW",180+T50,180-T50)))</f>
        <v>359.20128357303895</v>
      </c>
      <c r="T50" s="181">
        <f>IF(S79&lt;0,S79+180,S79)</f>
        <v>0.7987164269610564</v>
      </c>
      <c r="U50" s="52" t="str">
        <f>IF(U28="N",IF(S37&gt;180,"NE","NW"),IF(S37&gt;180,"SE","SW"))</f>
        <v>NW</v>
      </c>
      <c r="W50" s="79" t="s">
        <v>230</v>
      </c>
      <c r="Y50" s="26"/>
      <c r="Z50" s="26"/>
      <c r="AA50" s="26"/>
      <c r="AB50" s="26"/>
      <c r="AG50" s="14" t="s">
        <v>225</v>
      </c>
      <c r="AH50" s="54">
        <f>IF(AJ50="NW",360-AI50,IF(AJ50="NE",AI50,IF(AJ50="SW",180+AI50,180-AI50)))</f>
        <v>79.45025872314828</v>
      </c>
      <c r="AI50" s="181">
        <f>IF(AH79&lt;0,AH79+180,AH79)</f>
        <v>79.45025872314828</v>
      </c>
      <c r="AJ50" s="52" t="str">
        <f>IF(AJ28="N",IF(AH37&gt;180,"NE","NW"),IF(AH37&gt;180,"SE","SW"))</f>
        <v>NE</v>
      </c>
      <c r="AL50" s="79" t="s">
        <v>230</v>
      </c>
      <c r="AN50" s="26"/>
      <c r="AV50" s="14" t="s">
        <v>225</v>
      </c>
      <c r="AW50" s="54" t="e">
        <f>IF(AY50="NW",360-AX50,IF(AY50="NE",AX50,IF(AY50="SW",180+AX50,180-AX50)))</f>
        <v>#VALUE!</v>
      </c>
      <c r="AX50" s="181" t="e">
        <f>IF(AW79&lt;0,AW79+180,AW79)</f>
        <v>#VALUE!</v>
      </c>
      <c r="AY50" s="52" t="e">
        <f>IF(AY28="N",IF(AW37&gt;180,"NE","NW"),IF(AW37&gt;180,"SE","SW"))</f>
        <v>#VALUE!</v>
      </c>
      <c r="BA50" s="79" t="s">
        <v>230</v>
      </c>
      <c r="BK50" s="14" t="s">
        <v>225</v>
      </c>
      <c r="BL50" s="54" t="e">
        <f>IF(BN50="NW",360-BM50,IF(BN50="NE",BM50,IF(BN50="SW",180+BM50,180-BM50)))</f>
        <v>#VALUE!</v>
      </c>
      <c r="BM50" s="181" t="e">
        <f>IF(BL79&lt;0,BL79+180,BL79)</f>
        <v>#VALUE!</v>
      </c>
      <c r="BN50" s="52" t="e">
        <f>IF(BN28="N",IF(BL37&gt;180,"NE","NW"),IF(BL37&gt;180,"SE","SW"))</f>
        <v>#VALUE!</v>
      </c>
      <c r="BP50" s="79" t="s">
        <v>230</v>
      </c>
      <c r="BZ50" s="14"/>
      <c r="CA50" s="54"/>
      <c r="CB50" s="181"/>
      <c r="CC50" s="52"/>
      <c r="CE50" s="79"/>
      <c r="CW50" s="423"/>
      <c r="CX50" s="224"/>
      <c r="CY50" s="224"/>
      <c r="CZ50" s="224"/>
      <c r="DA50" s="224"/>
      <c r="DB50" s="224"/>
      <c r="DC50" s="224"/>
      <c r="DD50" s="224"/>
      <c r="DE50" s="224"/>
      <c r="DF50" s="224"/>
      <c r="DG50" s="424"/>
    </row>
    <row r="51" spans="4:111" ht="12.75">
      <c r="D51" s="76"/>
      <c r="O51" s="26"/>
      <c r="P51" s="26"/>
      <c r="S51" s="76"/>
      <c r="Y51" s="26"/>
      <c r="Z51" s="26"/>
      <c r="AA51" s="26"/>
      <c r="AB51" s="26"/>
      <c r="AH51" s="76"/>
      <c r="AN51" s="26"/>
      <c r="AW51" s="76"/>
      <c r="BL51" s="76"/>
      <c r="CA51" s="76"/>
      <c r="CW51" s="423"/>
      <c r="CX51" s="224"/>
      <c r="CY51" s="224"/>
      <c r="CZ51" s="224"/>
      <c r="DA51" s="224"/>
      <c r="DB51" s="224"/>
      <c r="DC51" s="224"/>
      <c r="DD51" s="224"/>
      <c r="DE51" s="224"/>
      <c r="DF51" s="224"/>
      <c r="DG51" s="424"/>
    </row>
    <row r="52" spans="1:111" ht="12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W52" s="423"/>
      <c r="CX52" s="224"/>
      <c r="CY52" s="224"/>
      <c r="CZ52" s="224"/>
      <c r="DA52" s="224"/>
      <c r="DB52" s="224"/>
      <c r="DC52" s="224"/>
      <c r="DD52" s="224"/>
      <c r="DE52" s="224"/>
      <c r="DF52" s="224"/>
      <c r="DG52" s="424"/>
    </row>
    <row r="53" spans="101:111" ht="12.75">
      <c r="CW53" s="423"/>
      <c r="CX53" s="224"/>
      <c r="CY53" s="224"/>
      <c r="CZ53" s="224"/>
      <c r="DA53" s="224"/>
      <c r="DB53" s="224"/>
      <c r="DC53" s="224"/>
      <c r="DD53" s="224"/>
      <c r="DE53" s="224"/>
      <c r="DF53" s="224"/>
      <c r="DG53" s="424"/>
    </row>
    <row r="54" spans="3:111" ht="12.75">
      <c r="C54" s="14" t="s">
        <v>37</v>
      </c>
      <c r="D54" s="15">
        <f>IF(F28="S",-(E28/60+D28),E28/60+D28)</f>
        <v>26.08866666666667</v>
      </c>
      <c r="E54" s="79" t="s">
        <v>59</v>
      </c>
      <c r="F54" s="79" t="s">
        <v>66</v>
      </c>
      <c r="R54" s="14" t="s">
        <v>37</v>
      </c>
      <c r="S54" s="15">
        <f>IF(U28="S",-(T28/60+S28),T28/60+S28)</f>
        <v>26.08866666666667</v>
      </c>
      <c r="T54" s="79" t="s">
        <v>59</v>
      </c>
      <c r="U54" s="79" t="s">
        <v>66</v>
      </c>
      <c r="AG54" s="14" t="s">
        <v>37</v>
      </c>
      <c r="AH54" s="15">
        <f>IF(AJ28="S",-(AI28/60+AH28),AI28/60+AH28)</f>
        <v>26.08866666666667</v>
      </c>
      <c r="AI54" s="79" t="s">
        <v>59</v>
      </c>
      <c r="AJ54" s="79" t="s">
        <v>66</v>
      </c>
      <c r="AV54" s="14" t="s">
        <v>37</v>
      </c>
      <c r="AW54" s="15">
        <f>IF(AY28="S",-(AX28/60+AW28),AX28/60+AW28)</f>
        <v>26.08866666666667</v>
      </c>
      <c r="AX54" s="79" t="s">
        <v>59</v>
      </c>
      <c r="AY54" s="79" t="s">
        <v>66</v>
      </c>
      <c r="BK54" s="14" t="s">
        <v>37</v>
      </c>
      <c r="BL54" s="15">
        <f>IF(BN28="S",-(BM28/60+BL28),BM28/60+BL28)</f>
        <v>26.08866666666667</v>
      </c>
      <c r="BM54" s="79" t="s">
        <v>59</v>
      </c>
      <c r="BN54" s="79" t="s">
        <v>66</v>
      </c>
      <c r="BZ54" s="14" t="s">
        <v>37</v>
      </c>
      <c r="CA54" s="15">
        <f>IF(CC28="S",-(CB28/60+CA28),CB28/60+CA28)</f>
        <v>-43.39</v>
      </c>
      <c r="CB54" s="79" t="s">
        <v>59</v>
      </c>
      <c r="CC54" s="79" t="s">
        <v>66</v>
      </c>
      <c r="CW54" s="423"/>
      <c r="CX54" s="224"/>
      <c r="CY54" s="224"/>
      <c r="CZ54" s="224"/>
      <c r="DA54" s="224"/>
      <c r="DB54" s="224"/>
      <c r="DC54" s="224"/>
      <c r="DD54" s="224"/>
      <c r="DE54" s="224"/>
      <c r="DF54" s="224"/>
      <c r="DG54" s="424"/>
    </row>
    <row r="55" spans="3:111" ht="12.75">
      <c r="C55" s="14" t="s">
        <v>32</v>
      </c>
      <c r="D55" s="15">
        <f>IF(F29="W",-(E29/60+D29),E29/60+D29)</f>
        <v>-20.33</v>
      </c>
      <c r="E55" s="79" t="s">
        <v>59</v>
      </c>
      <c r="F55" s="79" t="s">
        <v>67</v>
      </c>
      <c r="R55" s="14" t="s">
        <v>32</v>
      </c>
      <c r="S55" s="15">
        <f>IF(U29="W",-(T29/60+S29),T29/60+S29)</f>
        <v>-20.33</v>
      </c>
      <c r="T55" s="79" t="s">
        <v>59</v>
      </c>
      <c r="U55" s="79" t="s">
        <v>67</v>
      </c>
      <c r="AG55" s="14" t="s">
        <v>32</v>
      </c>
      <c r="AH55" s="15">
        <f>IF(AJ29="W",-(AI29/60+AH29),AI29/60+AH29)</f>
        <v>-20.33</v>
      </c>
      <c r="AI55" s="79" t="s">
        <v>59</v>
      </c>
      <c r="AJ55" s="79" t="s">
        <v>67</v>
      </c>
      <c r="AV55" s="14" t="s">
        <v>32</v>
      </c>
      <c r="AW55" s="15">
        <f>IF(AY29="W",-(AX29/60+AW29),AX29/60+AW29)</f>
        <v>-20.33</v>
      </c>
      <c r="AX55" s="79" t="s">
        <v>59</v>
      </c>
      <c r="AY55" s="79" t="s">
        <v>67</v>
      </c>
      <c r="BK55" s="14" t="s">
        <v>32</v>
      </c>
      <c r="BL55" s="15">
        <f>IF(BN29="W",-(BM29/60+BL29),BM29/60+BL29)</f>
        <v>-20.33</v>
      </c>
      <c r="BM55" s="79" t="s">
        <v>59</v>
      </c>
      <c r="BN55" s="79" t="s">
        <v>67</v>
      </c>
      <c r="BZ55" s="14" t="s">
        <v>32</v>
      </c>
      <c r="CA55" s="15">
        <f>IF(CC29="W",-(CB29/60+CA29),CB29/60+CA29)</f>
        <v>4.905</v>
      </c>
      <c r="CB55" s="79" t="s">
        <v>59</v>
      </c>
      <c r="CC55" s="79" t="s">
        <v>67</v>
      </c>
      <c r="CW55" s="423"/>
      <c r="CX55" s="224"/>
      <c r="CY55" s="224"/>
      <c r="CZ55" s="224"/>
      <c r="DA55" s="224"/>
      <c r="DB55" s="224"/>
      <c r="DC55" s="224"/>
      <c r="DD55" s="224"/>
      <c r="DE55" s="224"/>
      <c r="DF55" s="224"/>
      <c r="DG55" s="424"/>
    </row>
    <row r="56" spans="101:111" ht="12.75">
      <c r="CW56" s="423"/>
      <c r="CX56" s="431"/>
      <c r="CY56" s="431"/>
      <c r="CZ56" s="431"/>
      <c r="DA56" s="431"/>
      <c r="DB56" s="431"/>
      <c r="DC56" s="431"/>
      <c r="DD56" s="431"/>
      <c r="DE56" s="431"/>
      <c r="DF56" s="431"/>
      <c r="DG56" s="424"/>
    </row>
    <row r="57" spans="3:111" ht="12.75">
      <c r="C57" s="14" t="s">
        <v>4</v>
      </c>
      <c r="D57" s="15">
        <f>IF(D26=0,"-",ROUND(D26+(F26/60+E26)/60,3))</f>
        <v>20.45</v>
      </c>
      <c r="E57" t="s">
        <v>69</v>
      </c>
      <c r="F57" s="79" t="s">
        <v>53</v>
      </c>
      <c r="R57" s="14" t="s">
        <v>4</v>
      </c>
      <c r="S57" s="15">
        <f>IF(S26=0,"-",ROUND(S26+(U26/60+T26)/60,3))</f>
        <v>20.485</v>
      </c>
      <c r="T57" t="s">
        <v>69</v>
      </c>
      <c r="U57" s="79" t="s">
        <v>53</v>
      </c>
      <c r="AG57" s="14" t="s">
        <v>4</v>
      </c>
      <c r="AH57" s="15">
        <f>IF(AH26=0,"-",ROUND(AH26+(AJ26/60+AI26)/60,3))</f>
        <v>20.518</v>
      </c>
      <c r="AI57" t="s">
        <v>69</v>
      </c>
      <c r="AJ57" s="79" t="s">
        <v>53</v>
      </c>
      <c r="AV57" s="14" t="s">
        <v>4</v>
      </c>
      <c r="AW57" s="15" t="str">
        <f>IF(AW26=0,"-",ROUND(AW26+(AY26/60+AX26)/60,3))</f>
        <v>-</v>
      </c>
      <c r="AX57" t="s">
        <v>69</v>
      </c>
      <c r="AY57" s="79" t="s">
        <v>53</v>
      </c>
      <c r="BK57" s="14" t="s">
        <v>4</v>
      </c>
      <c r="BL57" s="15" t="str">
        <f>IF(BL26=0,"-",ROUND(BL26+(BN26/60+BM26)/60,3))</f>
        <v>-</v>
      </c>
      <c r="BM57" t="s">
        <v>69</v>
      </c>
      <c r="BN57" s="79" t="s">
        <v>53</v>
      </c>
      <c r="BZ57" s="14" t="s">
        <v>4</v>
      </c>
      <c r="CA57" s="15">
        <f>IF(CA26=0,"-",ROUND(CA26+(CC26/60+CB26)/60,3))</f>
        <v>23</v>
      </c>
      <c r="CB57" t="s">
        <v>69</v>
      </c>
      <c r="CC57" s="79" t="s">
        <v>53</v>
      </c>
      <c r="CW57" s="423"/>
      <c r="CX57" s="224"/>
      <c r="CY57" s="224"/>
      <c r="CZ57" s="224"/>
      <c r="DA57" s="224"/>
      <c r="DB57" s="224"/>
      <c r="DC57" s="224"/>
      <c r="DD57" s="224"/>
      <c r="DE57" s="224"/>
      <c r="DF57" s="224"/>
      <c r="DG57" s="424"/>
    </row>
    <row r="58" spans="3:111" ht="12.75">
      <c r="C58" s="14" t="s">
        <v>4</v>
      </c>
      <c r="D58" s="15">
        <f>IF(D57=0,"-",ROUND(D57*15,3))</f>
        <v>306.75</v>
      </c>
      <c r="E58" t="s">
        <v>70</v>
      </c>
      <c r="F58" s="79" t="s">
        <v>54</v>
      </c>
      <c r="R58" s="14" t="s">
        <v>4</v>
      </c>
      <c r="S58" s="15">
        <f>IF(S57=0,"-",ROUND(S57*15,3))</f>
        <v>307.275</v>
      </c>
      <c r="T58" t="s">
        <v>70</v>
      </c>
      <c r="U58" s="79" t="s">
        <v>54</v>
      </c>
      <c r="AG58" s="14" t="s">
        <v>4</v>
      </c>
      <c r="AH58" s="15">
        <f>IF(AH57=0,"-",ROUND(AH57*15,3))</f>
        <v>307.77</v>
      </c>
      <c r="AI58" t="s">
        <v>70</v>
      </c>
      <c r="AJ58" s="79" t="s">
        <v>54</v>
      </c>
      <c r="AV58" s="14" t="s">
        <v>4</v>
      </c>
      <c r="AW58" s="15" t="str">
        <f>IF(AW57=0,"-",ROUND(AW57*15,3))</f>
        <v>-</v>
      </c>
      <c r="AX58" t="s">
        <v>70</v>
      </c>
      <c r="AY58" s="79" t="s">
        <v>54</v>
      </c>
      <c r="BK58" s="14" t="s">
        <v>4</v>
      </c>
      <c r="BL58" s="15" t="str">
        <f>IF(BL57=0,"-",ROUND(BL57*15,3))</f>
        <v>-</v>
      </c>
      <c r="BM58" t="s">
        <v>70</v>
      </c>
      <c r="BN58" s="79" t="s">
        <v>54</v>
      </c>
      <c r="BZ58" s="14" t="s">
        <v>4</v>
      </c>
      <c r="CA58" s="15">
        <f>IF(CA57=0,"-",ROUND(CA57*15,3))</f>
        <v>345</v>
      </c>
      <c r="CB58" t="s">
        <v>70</v>
      </c>
      <c r="CC58" s="79" t="s">
        <v>54</v>
      </c>
      <c r="CW58" s="423"/>
      <c r="CX58" s="224"/>
      <c r="CY58" s="224"/>
      <c r="CZ58" s="224"/>
      <c r="DA58" s="224"/>
      <c r="DB58" s="224"/>
      <c r="DC58" s="224"/>
      <c r="DD58" s="224"/>
      <c r="DE58" s="224"/>
      <c r="DF58" s="224"/>
      <c r="DG58" s="424"/>
    </row>
    <row r="59" spans="3:111" ht="12.75">
      <c r="C59" s="14" t="s">
        <v>3</v>
      </c>
      <c r="D59" s="15">
        <f>IF(D25=0,"-",ROUND(D25+D57/24,3))</f>
        <v>26.852</v>
      </c>
      <c r="E59" t="s">
        <v>71</v>
      </c>
      <c r="F59" s="79" t="s">
        <v>55</v>
      </c>
      <c r="R59" s="14" t="s">
        <v>3</v>
      </c>
      <c r="S59" s="15">
        <f>IF(S25=0,"-",ROUND(S25+S57/24,3))</f>
        <v>26.854</v>
      </c>
      <c r="T59" t="s">
        <v>71</v>
      </c>
      <c r="U59" s="79" t="s">
        <v>55</v>
      </c>
      <c r="AG59" s="14" t="s">
        <v>3</v>
      </c>
      <c r="AH59" s="15">
        <f>IF(AH25=0,"-",ROUND(AH25+AH57/24,3))</f>
        <v>26.855</v>
      </c>
      <c r="AI59" t="s">
        <v>71</v>
      </c>
      <c r="AJ59" s="79" t="s">
        <v>55</v>
      </c>
      <c r="AV59" s="14" t="s">
        <v>3</v>
      </c>
      <c r="AW59" s="15" t="str">
        <f>IF(AW25=0,"-",ROUND(AW25+AW57/24,3))</f>
        <v>-</v>
      </c>
      <c r="AX59" t="s">
        <v>71</v>
      </c>
      <c r="AY59" s="79" t="s">
        <v>55</v>
      </c>
      <c r="BK59" s="14" t="s">
        <v>3</v>
      </c>
      <c r="BL59" s="15" t="str">
        <f>IF(BL25=0,"-",ROUND(BL25+BL57/24,3))</f>
        <v>-</v>
      </c>
      <c r="BM59" t="s">
        <v>71</v>
      </c>
      <c r="BN59" s="79" t="s">
        <v>55</v>
      </c>
      <c r="BZ59" s="14" t="s">
        <v>3</v>
      </c>
      <c r="CA59" s="15">
        <f>IF(CA25=0,"-",ROUND(CA25+CA57/24,3))</f>
        <v>2.958</v>
      </c>
      <c r="CB59" t="s">
        <v>71</v>
      </c>
      <c r="CC59" s="79" t="s">
        <v>55</v>
      </c>
      <c r="CW59" s="423"/>
      <c r="CX59" s="224"/>
      <c r="CY59" s="224"/>
      <c r="CZ59" s="224"/>
      <c r="DA59" s="224"/>
      <c r="DB59" s="224"/>
      <c r="DC59" s="224"/>
      <c r="DD59" s="224"/>
      <c r="DE59" s="224"/>
      <c r="DF59" s="224"/>
      <c r="DG59" s="424"/>
    </row>
    <row r="60" spans="3:111" ht="12.75">
      <c r="C60" s="14" t="s">
        <v>5</v>
      </c>
      <c r="D60" s="15">
        <f>IF(D61=1,IF(E25&lt;3,HLOOKUP(F25,$B$113:$P$115,2),HLOOKUP(F25,$B$113:$P$115,3)),HLOOKUP(F25,$B$113:$P$115,2))</f>
        <v>-0.36</v>
      </c>
      <c r="E60" t="s">
        <v>71</v>
      </c>
      <c r="F60" s="79" t="s">
        <v>56</v>
      </c>
      <c r="R60" s="14" t="s">
        <v>5</v>
      </c>
      <c r="S60" s="15">
        <f>IF(S61=1,IF(T25&lt;3,HLOOKUP(U25,$B$113:$P$115,2),HLOOKUP(U25,$B$113:$P$115,3)),HLOOKUP(U25,$B$113:$P$115,2))</f>
        <v>-0.36</v>
      </c>
      <c r="T60" t="s">
        <v>71</v>
      </c>
      <c r="U60" s="79" t="s">
        <v>56</v>
      </c>
      <c r="AG60" s="14" t="s">
        <v>5</v>
      </c>
      <c r="AH60" s="15">
        <f>IF(AH61=1,IF(AI25&lt;3,HLOOKUP(AJ25,$B$113:$P$115,2),HLOOKUP(AJ25,$B$113:$P$115,3)),HLOOKUP(AJ25,$B$113:$P$115,2))</f>
        <v>-0.36</v>
      </c>
      <c r="AI60" t="s">
        <v>71</v>
      </c>
      <c r="AJ60" s="79" t="s">
        <v>56</v>
      </c>
      <c r="AV60" s="14" t="s">
        <v>5</v>
      </c>
      <c r="AW60" s="15" t="e">
        <f>IF(AW61=1,IF(AX25&lt;3,HLOOKUP(AY25,$B$113:$P$115,2),HLOOKUP(AY25,$B$113:$P$115,3)),HLOOKUP(AY25,$B$113:$P$115,2))</f>
        <v>#VALUE!</v>
      </c>
      <c r="AX60" t="s">
        <v>71</v>
      </c>
      <c r="AY60" s="79" t="s">
        <v>56</v>
      </c>
      <c r="BK60" s="14" t="s">
        <v>5</v>
      </c>
      <c r="BL60" s="15" t="e">
        <f>IF(BL61=1,IF(BM25&lt;3,HLOOKUP(BN25,$B$113:$P$115,2),HLOOKUP(BN25,$B$113:$P$115,3)),HLOOKUP(BN25,$B$113:$P$115,2))</f>
        <v>#VALUE!</v>
      </c>
      <c r="BM60" t="s">
        <v>71</v>
      </c>
      <c r="BN60" s="79" t="s">
        <v>56</v>
      </c>
      <c r="BZ60" s="14" t="s">
        <v>5</v>
      </c>
      <c r="CA60" s="15">
        <f>IF(CA61=1,IF(CB25&lt;3,HLOOKUP(CC25,$B$113:$P$115,2),HLOOKUP(CC25,$B$113:$P$115,3)),HLOOKUP(CC25,$B$113:$P$115,2))</f>
        <v>-0.36</v>
      </c>
      <c r="CB60" t="s">
        <v>71</v>
      </c>
      <c r="CC60" s="79" t="s">
        <v>56</v>
      </c>
      <c r="CW60" s="423"/>
      <c r="CX60" s="224"/>
      <c r="CY60" s="224"/>
      <c r="CZ60" s="224"/>
      <c r="DA60" s="224"/>
      <c r="DB60" s="224"/>
      <c r="DC60" s="224"/>
      <c r="DD60" s="224"/>
      <c r="DE60" s="224"/>
      <c r="DF60" s="224"/>
      <c r="DG60" s="424"/>
    </row>
    <row r="61" spans="3:111" ht="12.75">
      <c r="C61" s="14" t="s">
        <v>6</v>
      </c>
      <c r="D61" s="51" t="b">
        <f>OR(F25=1988,F25=1992,F25=1996,F25=2000)</f>
        <v>0</v>
      </c>
      <c r="F61" s="79" t="s">
        <v>57</v>
      </c>
      <c r="R61" s="14" t="s">
        <v>6</v>
      </c>
      <c r="S61" s="51" t="b">
        <f>OR(U25=1988,U25=1992,U25=1996,U25=2000)</f>
        <v>0</v>
      </c>
      <c r="U61" s="79" t="s">
        <v>57</v>
      </c>
      <c r="AG61" s="14" t="s">
        <v>6</v>
      </c>
      <c r="AH61" s="51" t="b">
        <f>OR(AJ25=1988,AJ25=1992,AJ25=1996,AJ25=2000)</f>
        <v>0</v>
      </c>
      <c r="AJ61" s="79" t="s">
        <v>57</v>
      </c>
      <c r="AV61" s="14" t="s">
        <v>6</v>
      </c>
      <c r="AW61" s="51" t="b">
        <f>OR(AY25=1988,AY25=1992,AY25=1996,AY25=2000)</f>
        <v>0</v>
      </c>
      <c r="AY61" s="79" t="s">
        <v>57</v>
      </c>
      <c r="BK61" s="14" t="s">
        <v>6</v>
      </c>
      <c r="BL61" s="51" t="b">
        <f>OR(BN25=1988,BN25=1992,BN25=1996,BN25=2000)</f>
        <v>0</v>
      </c>
      <c r="BN61" s="79" t="s">
        <v>57</v>
      </c>
      <c r="BZ61" s="14" t="s">
        <v>6</v>
      </c>
      <c r="CA61" s="51" t="b">
        <f>OR(CC25=1988,CC25=1992,CC25=1996,CC25=2000)</f>
        <v>0</v>
      </c>
      <c r="CC61" s="79" t="s">
        <v>57</v>
      </c>
      <c r="CW61" s="423"/>
      <c r="CX61" s="224"/>
      <c r="CY61" s="224"/>
      <c r="CZ61" s="224"/>
      <c r="DA61" s="224"/>
      <c r="DB61" s="224"/>
      <c r="DC61" s="224"/>
      <c r="DD61" s="224"/>
      <c r="DE61" s="224"/>
      <c r="DF61" s="224"/>
      <c r="DG61" s="424"/>
    </row>
    <row r="62" spans="3:111" ht="12.75">
      <c r="C62" s="14" t="s">
        <v>7</v>
      </c>
      <c r="D62" s="15">
        <f>D59-1+D60</f>
        <v>25.492</v>
      </c>
      <c r="E62" t="s">
        <v>71</v>
      </c>
      <c r="F62" s="79" t="s">
        <v>58</v>
      </c>
      <c r="R62" s="14" t="s">
        <v>7</v>
      </c>
      <c r="S62" s="15">
        <f>S59-1+S60</f>
        <v>25.494</v>
      </c>
      <c r="T62" t="s">
        <v>71</v>
      </c>
      <c r="U62" s="79" t="s">
        <v>58</v>
      </c>
      <c r="AG62" s="14" t="s">
        <v>7</v>
      </c>
      <c r="AH62" s="15">
        <f>AH59-1+AH60</f>
        <v>25.495</v>
      </c>
      <c r="AI62" t="s">
        <v>71</v>
      </c>
      <c r="AJ62" s="79" t="s">
        <v>58</v>
      </c>
      <c r="AV62" s="14" t="s">
        <v>7</v>
      </c>
      <c r="AW62" s="15" t="e">
        <f>AW59-1+AW60</f>
        <v>#VALUE!</v>
      </c>
      <c r="AX62" t="s">
        <v>71</v>
      </c>
      <c r="AY62" s="79" t="s">
        <v>58</v>
      </c>
      <c r="BK62" s="14" t="s">
        <v>7</v>
      </c>
      <c r="BL62" s="15" t="e">
        <f>BL59-1+BL60</f>
        <v>#VALUE!</v>
      </c>
      <c r="BM62" t="s">
        <v>71</v>
      </c>
      <c r="BN62" s="79" t="s">
        <v>58</v>
      </c>
      <c r="BZ62" s="14" t="s">
        <v>7</v>
      </c>
      <c r="CA62" s="15">
        <f>CA59-1+CA60</f>
        <v>1.5980000000000003</v>
      </c>
      <c r="CB62" t="s">
        <v>71</v>
      </c>
      <c r="CC62" s="79" t="s">
        <v>58</v>
      </c>
      <c r="CW62" s="423"/>
      <c r="CX62" s="224"/>
      <c r="CY62" s="224"/>
      <c r="CZ62" s="224"/>
      <c r="DA62" s="224"/>
      <c r="DB62" s="224"/>
      <c r="DC62" s="224"/>
      <c r="DD62" s="224"/>
      <c r="DE62" s="224"/>
      <c r="DF62" s="224"/>
      <c r="DG62" s="424"/>
    </row>
    <row r="63" spans="3:111" ht="12.75">
      <c r="C63" s="14" t="s">
        <v>8</v>
      </c>
      <c r="D63" s="15">
        <f>HLOOKUP(E25,$B$118:$M$119,2)</f>
        <v>189.265</v>
      </c>
      <c r="E63" s="79" t="s">
        <v>59</v>
      </c>
      <c r="F63" s="79" t="s">
        <v>407</v>
      </c>
      <c r="R63" s="14" t="s">
        <v>8</v>
      </c>
      <c r="S63" s="15">
        <f>HLOOKUP(T25,$B$118:$M$119,2)</f>
        <v>189.265</v>
      </c>
      <c r="T63" s="79" t="s">
        <v>59</v>
      </c>
      <c r="U63" s="79" t="s">
        <v>407</v>
      </c>
      <c r="AG63" s="14" t="s">
        <v>8</v>
      </c>
      <c r="AH63" s="15">
        <f>HLOOKUP(AI25,$B$118:$M$119,2)</f>
        <v>189.265</v>
      </c>
      <c r="AI63" s="79" t="s">
        <v>59</v>
      </c>
      <c r="AJ63" s="79" t="s">
        <v>407</v>
      </c>
      <c r="AV63" s="14" t="s">
        <v>8</v>
      </c>
      <c r="AW63" s="15" t="e">
        <f>HLOOKUP(AX25,$B$118:$M$119,2)</f>
        <v>#VALUE!</v>
      </c>
      <c r="AX63" s="79" t="s">
        <v>59</v>
      </c>
      <c r="AY63" s="79" t="s">
        <v>407</v>
      </c>
      <c r="BK63" s="14" t="s">
        <v>8</v>
      </c>
      <c r="BL63" s="15" t="e">
        <f>HLOOKUP(BM25,$B$118:$M$119,2)</f>
        <v>#VALUE!</v>
      </c>
      <c r="BM63" s="79" t="s">
        <v>59</v>
      </c>
      <c r="BN63" s="79" t="s">
        <v>407</v>
      </c>
      <c r="BZ63" s="14" t="s">
        <v>8</v>
      </c>
      <c r="CA63" s="15">
        <f>HLOOKUP(CB25,$B$118:$M$119,2)</f>
        <v>69.762</v>
      </c>
      <c r="CB63" s="79" t="s">
        <v>59</v>
      </c>
      <c r="CC63" s="79" t="s">
        <v>407</v>
      </c>
      <c r="CW63" s="423"/>
      <c r="CX63" s="224"/>
      <c r="CY63" s="224"/>
      <c r="CZ63" s="224"/>
      <c r="DA63" s="224"/>
      <c r="DB63" s="224"/>
      <c r="DC63" s="224"/>
      <c r="DD63" s="224"/>
      <c r="DE63" s="224"/>
      <c r="DF63" s="224"/>
      <c r="DG63" s="424"/>
    </row>
    <row r="64" spans="3:111" ht="12.75">
      <c r="C64" s="14" t="s">
        <v>29</v>
      </c>
      <c r="D64" s="15">
        <f>0.9856*D62+D63+D58</f>
        <v>521.1399152</v>
      </c>
      <c r="E64" s="79" t="s">
        <v>59</v>
      </c>
      <c r="F64" s="79" t="s">
        <v>408</v>
      </c>
      <c r="R64" s="14" t="s">
        <v>29</v>
      </c>
      <c r="S64" s="15">
        <f>0.9856*S62+S63+S58</f>
        <v>521.6668864</v>
      </c>
      <c r="T64" s="79" t="s">
        <v>59</v>
      </c>
      <c r="U64" s="79" t="s">
        <v>408</v>
      </c>
      <c r="AG64" s="14" t="s">
        <v>29</v>
      </c>
      <c r="AH64" s="15">
        <f>0.9856*AH62+AH63+AH58</f>
        <v>522.162872</v>
      </c>
      <c r="AI64" s="79" t="s">
        <v>59</v>
      </c>
      <c r="AJ64" s="79" t="s">
        <v>408</v>
      </c>
      <c r="AV64" s="14" t="s">
        <v>29</v>
      </c>
      <c r="AW64" s="15" t="e">
        <f>0.9856*AW62+AW63+AW58</f>
        <v>#VALUE!</v>
      </c>
      <c r="AX64" s="79" t="s">
        <v>59</v>
      </c>
      <c r="AY64" s="79" t="s">
        <v>408</v>
      </c>
      <c r="BK64" s="14" t="s">
        <v>29</v>
      </c>
      <c r="BL64" s="15" t="e">
        <f>0.9856*BL62+BL63+BL58</f>
        <v>#VALUE!</v>
      </c>
      <c r="BM64" s="79" t="s">
        <v>59</v>
      </c>
      <c r="BN64" s="79" t="s">
        <v>408</v>
      </c>
      <c r="BZ64" s="14" t="s">
        <v>29</v>
      </c>
      <c r="CA64" s="15">
        <f>0.9856*CA62+CA63+CA58</f>
        <v>416.3369888</v>
      </c>
      <c r="CB64" s="79" t="s">
        <v>59</v>
      </c>
      <c r="CC64" s="79" t="s">
        <v>408</v>
      </c>
      <c r="CW64" s="423"/>
      <c r="CX64" s="224"/>
      <c r="CY64" s="224"/>
      <c r="CZ64" s="224"/>
      <c r="DA64" s="224"/>
      <c r="DB64" s="224"/>
      <c r="DC64" s="224"/>
      <c r="DD64" s="224"/>
      <c r="DE64" s="224"/>
      <c r="DF64" s="224"/>
      <c r="DG64" s="424"/>
    </row>
    <row r="65" spans="4:111" ht="12.75">
      <c r="D65" s="15"/>
      <c r="S65" s="15"/>
      <c r="AH65" s="15"/>
      <c r="AW65" s="15"/>
      <c r="BL65" s="15"/>
      <c r="CA65" s="15"/>
      <c r="CW65" s="423"/>
      <c r="CX65" s="224"/>
      <c r="CY65" s="224"/>
      <c r="CZ65" s="224"/>
      <c r="DA65" s="224"/>
      <c r="DB65" s="224"/>
      <c r="DC65" s="224"/>
      <c r="DD65" s="224"/>
      <c r="DE65" s="224"/>
      <c r="DF65" s="224"/>
      <c r="DG65" s="424"/>
    </row>
    <row r="66" spans="3:111" ht="15.75">
      <c r="C66" s="22" t="s">
        <v>219</v>
      </c>
      <c r="D66" s="177">
        <f>VLOOKUP(D27,$B$84:$L$109,8)</f>
        <v>258.927</v>
      </c>
      <c r="E66" s="79" t="s">
        <v>59</v>
      </c>
      <c r="F66" s="79" t="s">
        <v>214</v>
      </c>
      <c r="R66" s="22" t="s">
        <v>219</v>
      </c>
      <c r="S66" s="177">
        <f>VLOOKUP(S27,$B$84:$L$109,8)</f>
        <v>326.858</v>
      </c>
      <c r="T66" s="79" t="s">
        <v>59</v>
      </c>
      <c r="U66" s="79" t="s">
        <v>214</v>
      </c>
      <c r="AG66" s="22" t="s">
        <v>219</v>
      </c>
      <c r="AH66" s="177">
        <f>VLOOKUP(AH27,$B$84:$L$109,8)</f>
        <v>146.297</v>
      </c>
      <c r="AI66" s="79" t="s">
        <v>59</v>
      </c>
      <c r="AJ66" s="79" t="s">
        <v>214</v>
      </c>
      <c r="AV66" s="22" t="s">
        <v>219</v>
      </c>
      <c r="AW66" s="177" t="e">
        <f>VLOOKUP(AW27,$B$84:$L$109,8)</f>
        <v>#VALUE!</v>
      </c>
      <c r="AX66" s="79" t="s">
        <v>59</v>
      </c>
      <c r="AY66" s="79" t="s">
        <v>214</v>
      </c>
      <c r="BK66" s="22" t="s">
        <v>219</v>
      </c>
      <c r="BL66" s="177" t="e">
        <f>VLOOKUP(BL27,$B$84:$L$109,8)</f>
        <v>#VALUE!</v>
      </c>
      <c r="BM66" s="79" t="s">
        <v>59</v>
      </c>
      <c r="BN66" s="79" t="s">
        <v>214</v>
      </c>
      <c r="BZ66" s="22" t="s">
        <v>219</v>
      </c>
      <c r="CA66" s="177">
        <f>VLOOKUP(CA27,$B$84:$L$109,8)</f>
        <v>326.858</v>
      </c>
      <c r="CB66" s="79" t="s">
        <v>59</v>
      </c>
      <c r="CC66" s="79" t="s">
        <v>214</v>
      </c>
      <c r="CW66" s="423"/>
      <c r="CX66" s="224"/>
      <c r="CY66" s="224"/>
      <c r="CZ66" s="224"/>
      <c r="DA66" s="224"/>
      <c r="DB66" s="224"/>
      <c r="DC66" s="224"/>
      <c r="DD66" s="224"/>
      <c r="DE66" s="224"/>
      <c r="DF66" s="224"/>
      <c r="DG66" s="424"/>
    </row>
    <row r="67" spans="3:111" ht="12.75">
      <c r="C67" s="94" t="s">
        <v>156</v>
      </c>
      <c r="D67" s="177">
        <f>VLOOKUP(D27,$B$84:$L$109,9)</f>
        <v>-0.0111</v>
      </c>
      <c r="E67" s="79" t="s">
        <v>59</v>
      </c>
      <c r="F67" s="79" t="s">
        <v>215</v>
      </c>
      <c r="R67" s="94" t="s">
        <v>156</v>
      </c>
      <c r="S67" s="177">
        <f>VLOOKUP(S27,$B$84:$L$109,9)</f>
        <v>-0.2008</v>
      </c>
      <c r="T67" s="79" t="s">
        <v>59</v>
      </c>
      <c r="U67" s="79" t="s">
        <v>215</v>
      </c>
      <c r="AG67" s="94" t="s">
        <v>156</v>
      </c>
      <c r="AH67" s="177">
        <f>VLOOKUP(AH27,$B$84:$L$109,9)</f>
        <v>-0.0113</v>
      </c>
      <c r="AI67" s="79" t="s">
        <v>59</v>
      </c>
      <c r="AJ67" s="79" t="s">
        <v>215</v>
      </c>
      <c r="AV67" s="94" t="s">
        <v>156</v>
      </c>
      <c r="AW67" s="177" t="e">
        <f>VLOOKUP(AW27,$B$84:$L$109,9)</f>
        <v>#VALUE!</v>
      </c>
      <c r="AX67" s="79" t="s">
        <v>59</v>
      </c>
      <c r="AY67" s="79" t="s">
        <v>215</v>
      </c>
      <c r="BK67" s="94" t="s">
        <v>156</v>
      </c>
      <c r="BL67" s="177" t="e">
        <f>VLOOKUP(BL27,$B$84:$L$109,9)</f>
        <v>#VALUE!</v>
      </c>
      <c r="BM67" s="79" t="s">
        <v>59</v>
      </c>
      <c r="BN67" s="79" t="s">
        <v>215</v>
      </c>
      <c r="BZ67" s="94" t="s">
        <v>156</v>
      </c>
      <c r="CA67" s="177">
        <f>VLOOKUP(CA27,$B$84:$L$109,9)</f>
        <v>-0.2008</v>
      </c>
      <c r="CB67" s="79" t="s">
        <v>59</v>
      </c>
      <c r="CC67" s="79" t="s">
        <v>215</v>
      </c>
      <c r="CW67" s="423"/>
      <c r="CX67" s="224"/>
      <c r="CY67" s="224"/>
      <c r="CZ67" s="224"/>
      <c r="DA67" s="224"/>
      <c r="DB67" s="224"/>
      <c r="DC67" s="224"/>
      <c r="DD67" s="224"/>
      <c r="DE67" s="224"/>
      <c r="DF67" s="224"/>
      <c r="DG67" s="424"/>
    </row>
    <row r="68" spans="3:111" ht="12.75">
      <c r="C68" s="94" t="s">
        <v>217</v>
      </c>
      <c r="D68" s="178">
        <f>F25-1981</f>
        <v>18</v>
      </c>
      <c r="E68" t="s">
        <v>218</v>
      </c>
      <c r="F68" s="79" t="s">
        <v>216</v>
      </c>
      <c r="R68" s="94" t="s">
        <v>217</v>
      </c>
      <c r="S68" s="178">
        <f>U25-1981</f>
        <v>18</v>
      </c>
      <c r="T68" t="s">
        <v>218</v>
      </c>
      <c r="U68" s="79" t="s">
        <v>216</v>
      </c>
      <c r="AG68" s="94" t="s">
        <v>217</v>
      </c>
      <c r="AH68" s="178">
        <f>AJ25-1981</f>
        <v>18</v>
      </c>
      <c r="AI68" t="s">
        <v>218</v>
      </c>
      <c r="AJ68" s="79" t="s">
        <v>216</v>
      </c>
      <c r="AV68" s="94" t="s">
        <v>217</v>
      </c>
      <c r="AW68" s="178">
        <f>AY25-1981</f>
        <v>-1981</v>
      </c>
      <c r="AX68" t="s">
        <v>218</v>
      </c>
      <c r="AY68" s="79" t="s">
        <v>216</v>
      </c>
      <c r="BK68" s="94" t="s">
        <v>217</v>
      </c>
      <c r="BL68" s="178">
        <f>BN25-1981</f>
        <v>-1981</v>
      </c>
      <c r="BM68" t="s">
        <v>218</v>
      </c>
      <c r="BN68" s="79" t="s">
        <v>216</v>
      </c>
      <c r="BZ68" s="94" t="s">
        <v>217</v>
      </c>
      <c r="CA68" s="178">
        <f>CC25-1981</f>
        <v>18</v>
      </c>
      <c r="CB68" t="s">
        <v>218</v>
      </c>
      <c r="CC68" s="79" t="s">
        <v>216</v>
      </c>
      <c r="CW68" s="423"/>
      <c r="CX68" s="224"/>
      <c r="CY68" s="224"/>
      <c r="CZ68" s="224"/>
      <c r="DA68" s="224"/>
      <c r="DB68" s="431"/>
      <c r="DC68" s="431"/>
      <c r="DD68" s="431"/>
      <c r="DE68" s="431"/>
      <c r="DF68" s="431"/>
      <c r="DG68" s="424"/>
    </row>
    <row r="69" spans="3:111" ht="12.75">
      <c r="C69" s="94" t="s">
        <v>155</v>
      </c>
      <c r="D69" s="50">
        <f>D66+D67*D68</f>
        <v>258.72720000000004</v>
      </c>
      <c r="E69" s="79" t="s">
        <v>59</v>
      </c>
      <c r="F69" s="79" t="s">
        <v>357</v>
      </c>
      <c r="R69" s="94" t="s">
        <v>155</v>
      </c>
      <c r="S69" s="50">
        <f>S66+S67*S68</f>
        <v>323.2436</v>
      </c>
      <c r="T69" s="79" t="s">
        <v>59</v>
      </c>
      <c r="U69" s="79" t="s">
        <v>357</v>
      </c>
      <c r="AG69" s="94" t="s">
        <v>155</v>
      </c>
      <c r="AH69" s="50">
        <f>AH66+AH67*AH68</f>
        <v>146.0936</v>
      </c>
      <c r="AI69" s="79" t="s">
        <v>59</v>
      </c>
      <c r="AJ69" s="79" t="s">
        <v>357</v>
      </c>
      <c r="AV69" s="94" t="s">
        <v>155</v>
      </c>
      <c r="AW69" s="50" t="e">
        <f>AW66+AW67*AW68</f>
        <v>#VALUE!</v>
      </c>
      <c r="AX69" s="79" t="s">
        <v>59</v>
      </c>
      <c r="AY69" s="79" t="s">
        <v>357</v>
      </c>
      <c r="BK69" s="94" t="s">
        <v>155</v>
      </c>
      <c r="BL69" s="50" t="e">
        <f>BL66+BL67*BL68</f>
        <v>#VALUE!</v>
      </c>
      <c r="BM69" s="79" t="s">
        <v>59</v>
      </c>
      <c r="BN69" s="79" t="s">
        <v>357</v>
      </c>
      <c r="BZ69" s="94" t="s">
        <v>155</v>
      </c>
      <c r="CA69" s="50">
        <f>CA66+CA67*CA68</f>
        <v>323.2436</v>
      </c>
      <c r="CB69" s="79" t="s">
        <v>59</v>
      </c>
      <c r="CC69" s="79" t="s">
        <v>357</v>
      </c>
      <c r="CW69" s="423"/>
      <c r="CX69" s="224"/>
      <c r="CY69" s="224"/>
      <c r="CZ69" s="224"/>
      <c r="DA69" s="224"/>
      <c r="DB69" s="224"/>
      <c r="DC69" s="224"/>
      <c r="DD69" s="224"/>
      <c r="DE69" s="224"/>
      <c r="DF69" s="224"/>
      <c r="DG69" s="424"/>
    </row>
    <row r="70" spans="3:111" ht="12.75">
      <c r="C70" t="s">
        <v>221</v>
      </c>
      <c r="D70" s="179">
        <f>D64+D66+D67*D68</f>
        <v>779.8671152000001</v>
      </c>
      <c r="E70" s="79" t="s">
        <v>59</v>
      </c>
      <c r="F70" s="79" t="s">
        <v>406</v>
      </c>
      <c r="R70" t="s">
        <v>221</v>
      </c>
      <c r="S70" s="179">
        <f>S64+S66+S67*S68</f>
        <v>844.9104864</v>
      </c>
      <c r="T70" s="79" t="s">
        <v>59</v>
      </c>
      <c r="U70" s="79" t="s">
        <v>406</v>
      </c>
      <c r="AG70" t="s">
        <v>221</v>
      </c>
      <c r="AH70" s="179">
        <f>AH64+AH66+AH67*AH68</f>
        <v>668.256472</v>
      </c>
      <c r="AI70" s="79" t="s">
        <v>59</v>
      </c>
      <c r="AJ70" s="79" t="s">
        <v>406</v>
      </c>
      <c r="AV70" t="s">
        <v>221</v>
      </c>
      <c r="AW70" s="179" t="e">
        <f>AW64+AW66+AW67*AW68</f>
        <v>#VALUE!</v>
      </c>
      <c r="AX70" s="79" t="s">
        <v>59</v>
      </c>
      <c r="AY70" s="79" t="s">
        <v>406</v>
      </c>
      <c r="BK70" t="s">
        <v>221</v>
      </c>
      <c r="BL70" s="179" t="e">
        <f>BL64+BL66+BL67*BL68</f>
        <v>#VALUE!</v>
      </c>
      <c r="BM70" s="79" t="s">
        <v>59</v>
      </c>
      <c r="BN70" s="79" t="s">
        <v>406</v>
      </c>
      <c r="BZ70" s="14" t="s">
        <v>221</v>
      </c>
      <c r="CA70" s="179">
        <f>CA64+CA66+CA67*CA68</f>
        <v>739.5805887999999</v>
      </c>
      <c r="CB70" s="79" t="s">
        <v>59</v>
      </c>
      <c r="CC70" s="79" t="s">
        <v>406</v>
      </c>
      <c r="CW70" s="423"/>
      <c r="CX70" s="224"/>
      <c r="CY70" s="224"/>
      <c r="CZ70" s="224"/>
      <c r="DA70" s="224"/>
      <c r="DB70" s="224"/>
      <c r="DC70" s="224"/>
      <c r="DD70" s="224"/>
      <c r="DE70" s="224"/>
      <c r="DF70" s="224"/>
      <c r="DG70" s="424"/>
    </row>
    <row r="71" spans="3:111" ht="15.75">
      <c r="C71" s="22" t="s">
        <v>232</v>
      </c>
      <c r="D71" s="177">
        <f>VLOOKUP(D27,$B$84:$L$109,10)</f>
        <v>-16.692</v>
      </c>
      <c r="E71" s="79" t="s">
        <v>59</v>
      </c>
      <c r="F71" s="79" t="s">
        <v>234</v>
      </c>
      <c r="R71" s="22" t="s">
        <v>232</v>
      </c>
      <c r="S71" s="177">
        <f>VLOOKUP(S27,$B$84:$L$109,10)</f>
        <v>89.173</v>
      </c>
      <c r="T71" s="79" t="s">
        <v>59</v>
      </c>
      <c r="U71" s="79" t="s">
        <v>234</v>
      </c>
      <c r="AG71" s="22" t="s">
        <v>232</v>
      </c>
      <c r="AH71" s="177">
        <f>VLOOKUP(AH27,$B$84:$L$109,10)</f>
        <v>19.282</v>
      </c>
      <c r="AI71" s="79" t="s">
        <v>59</v>
      </c>
      <c r="AJ71" s="79" t="s">
        <v>234</v>
      </c>
      <c r="AV71" s="22" t="s">
        <v>232</v>
      </c>
      <c r="AW71" s="177" t="e">
        <f>VLOOKUP(AW27,$B$84:$L$109,10)</f>
        <v>#VALUE!</v>
      </c>
      <c r="AX71" s="79" t="s">
        <v>59</v>
      </c>
      <c r="AY71" s="79" t="s">
        <v>234</v>
      </c>
      <c r="BK71" s="22" t="s">
        <v>232</v>
      </c>
      <c r="BL71" s="177" t="e">
        <f>VLOOKUP(BL27,$B$84:$L$109,10)</f>
        <v>#VALUE!</v>
      </c>
      <c r="BM71" s="79" t="s">
        <v>59</v>
      </c>
      <c r="BN71" s="79" t="s">
        <v>234</v>
      </c>
      <c r="BZ71" s="22" t="s">
        <v>232</v>
      </c>
      <c r="CA71" s="177">
        <f>VLOOKUP(CA27,$B$84:$L$109,10)</f>
        <v>89.173</v>
      </c>
      <c r="CB71" s="79" t="s">
        <v>59</v>
      </c>
      <c r="CC71" s="79" t="s">
        <v>234</v>
      </c>
      <c r="CW71" s="423"/>
      <c r="CX71" s="224"/>
      <c r="CY71" s="224"/>
      <c r="CZ71" s="224"/>
      <c r="DA71" s="224"/>
      <c r="DB71" s="224"/>
      <c r="DC71" s="224"/>
      <c r="DD71" s="224"/>
      <c r="DE71" s="224"/>
      <c r="DF71" s="224"/>
      <c r="DG71" s="424"/>
    </row>
    <row r="72" spans="3:111" ht="12.75">
      <c r="C72" s="94" t="s">
        <v>158</v>
      </c>
      <c r="D72" s="177">
        <f>VLOOKUP(D27,$B$84:$L$109,11)</f>
        <v>0.0011</v>
      </c>
      <c r="E72" s="79" t="s">
        <v>59</v>
      </c>
      <c r="F72" s="79" t="s">
        <v>235</v>
      </c>
      <c r="R72" s="94" t="s">
        <v>158</v>
      </c>
      <c r="S72" s="177">
        <f>VLOOKUP(S27,$B$84:$L$109,11)</f>
        <v>0.0047</v>
      </c>
      <c r="T72" s="79" t="s">
        <v>59</v>
      </c>
      <c r="U72" s="79" t="s">
        <v>235</v>
      </c>
      <c r="AG72" s="94" t="s">
        <v>158</v>
      </c>
      <c r="AH72" s="177">
        <f>VLOOKUP(AH27,$B$84:$L$109,11)</f>
        <v>-0.0052</v>
      </c>
      <c r="AI72" s="79" t="s">
        <v>59</v>
      </c>
      <c r="AJ72" s="79" t="s">
        <v>235</v>
      </c>
      <c r="AV72" s="94" t="s">
        <v>158</v>
      </c>
      <c r="AW72" s="177" t="e">
        <f>VLOOKUP(AW27,$B$84:$L$109,11)</f>
        <v>#VALUE!</v>
      </c>
      <c r="AX72" s="79" t="s">
        <v>59</v>
      </c>
      <c r="AY72" s="79" t="s">
        <v>235</v>
      </c>
      <c r="BK72" s="94" t="s">
        <v>158</v>
      </c>
      <c r="BL72" s="177" t="e">
        <f>VLOOKUP(BL27,$B$84:$L$109,11)</f>
        <v>#VALUE!</v>
      </c>
      <c r="BM72" s="79" t="s">
        <v>59</v>
      </c>
      <c r="BN72" s="79" t="s">
        <v>235</v>
      </c>
      <c r="BZ72" s="94" t="s">
        <v>158</v>
      </c>
      <c r="CA72" s="177">
        <f>VLOOKUP(CA27,$B$84:$L$109,11)</f>
        <v>0.0047</v>
      </c>
      <c r="CB72" s="79" t="s">
        <v>59</v>
      </c>
      <c r="CC72" s="79" t="s">
        <v>235</v>
      </c>
      <c r="CW72" s="423"/>
      <c r="CX72" s="224"/>
      <c r="CY72" s="224"/>
      <c r="CZ72" s="224"/>
      <c r="DA72" s="224"/>
      <c r="DB72" s="224"/>
      <c r="DC72" s="224"/>
      <c r="DD72" s="224"/>
      <c r="DE72" s="224"/>
      <c r="DF72" s="224"/>
      <c r="DG72" s="424"/>
    </row>
    <row r="73" spans="3:111" ht="12.75">
      <c r="C73" s="94" t="s">
        <v>233</v>
      </c>
      <c r="D73" s="179">
        <f>D71+D68*D72</f>
        <v>-16.6722</v>
      </c>
      <c r="E73" s="79" t="s">
        <v>59</v>
      </c>
      <c r="F73" s="79" t="s">
        <v>236</v>
      </c>
      <c r="R73" s="94" t="s">
        <v>233</v>
      </c>
      <c r="S73" s="179">
        <f>S71+S68*S72</f>
        <v>89.2576</v>
      </c>
      <c r="T73" s="79" t="s">
        <v>59</v>
      </c>
      <c r="U73" s="79" t="s">
        <v>236</v>
      </c>
      <c r="AG73" s="94" t="s">
        <v>233</v>
      </c>
      <c r="AH73" s="179">
        <f>AH71+AH68*AH72</f>
        <v>19.1884</v>
      </c>
      <c r="AI73" s="79" t="s">
        <v>59</v>
      </c>
      <c r="AJ73" s="79" t="s">
        <v>236</v>
      </c>
      <c r="AV73" s="94" t="s">
        <v>233</v>
      </c>
      <c r="AW73" s="179" t="e">
        <f>AW71+AW68*AW72</f>
        <v>#VALUE!</v>
      </c>
      <c r="AX73" s="79" t="s">
        <v>59</v>
      </c>
      <c r="AY73" s="79" t="s">
        <v>236</v>
      </c>
      <c r="BK73" s="94" t="s">
        <v>233</v>
      </c>
      <c r="BL73" s="179" t="e">
        <f>BL71+BL68*BL72</f>
        <v>#VALUE!</v>
      </c>
      <c r="BM73" s="79" t="s">
        <v>59</v>
      </c>
      <c r="BN73" s="79" t="s">
        <v>236</v>
      </c>
      <c r="BZ73" s="94" t="s">
        <v>233</v>
      </c>
      <c r="CA73" s="179">
        <f>CA71+CA68*CA72</f>
        <v>89.2576</v>
      </c>
      <c r="CB73" s="79" t="s">
        <v>59</v>
      </c>
      <c r="CC73" s="79" t="s">
        <v>236</v>
      </c>
      <c r="CW73" s="423"/>
      <c r="CX73" s="224"/>
      <c r="CY73" s="224"/>
      <c r="CZ73" s="224"/>
      <c r="DA73" s="224"/>
      <c r="DB73" s="224"/>
      <c r="DC73" s="224"/>
      <c r="DD73" s="224"/>
      <c r="DE73" s="224"/>
      <c r="DF73" s="224"/>
      <c r="DG73" s="424"/>
    </row>
    <row r="74" spans="4:111" ht="12.75">
      <c r="D74" s="179"/>
      <c r="E74" s="79"/>
      <c r="F74" s="79"/>
      <c r="S74" s="179"/>
      <c r="T74" s="79"/>
      <c r="U74" s="79"/>
      <c r="AH74" s="179"/>
      <c r="AI74" s="79"/>
      <c r="AJ74" s="79"/>
      <c r="AW74" s="179"/>
      <c r="AX74" s="79"/>
      <c r="AY74" s="79"/>
      <c r="BL74" s="179"/>
      <c r="BM74" s="79"/>
      <c r="BN74" s="79"/>
      <c r="CA74" s="179"/>
      <c r="CB74" s="79"/>
      <c r="CC74" s="79"/>
      <c r="CW74" s="423"/>
      <c r="CX74" s="224"/>
      <c r="CY74" s="224"/>
      <c r="CZ74" s="224"/>
      <c r="DA74" s="224"/>
      <c r="DB74" s="224"/>
      <c r="DC74" s="224"/>
      <c r="DD74" s="224"/>
      <c r="DE74" s="224"/>
      <c r="DF74" s="224"/>
      <c r="DG74" s="424"/>
    </row>
    <row r="75" spans="101:111" ht="13.5" thickBot="1">
      <c r="CW75" s="423"/>
      <c r="CX75" s="224"/>
      <c r="CY75" s="224"/>
      <c r="CZ75" s="224"/>
      <c r="DA75" s="224"/>
      <c r="DB75" s="224"/>
      <c r="DC75" s="224"/>
      <c r="DD75" s="224"/>
      <c r="DE75" s="224"/>
      <c r="DF75" s="224"/>
      <c r="DG75" s="424"/>
    </row>
    <row r="76" spans="3:111" ht="14.25">
      <c r="C76" s="55" t="s">
        <v>43</v>
      </c>
      <c r="D76" s="16">
        <f>IF(D54*D44&lt;0,-TAN(RADIANS(SIGN(D44)*D44)),TAN(RADIANS(SIGN(D44)*D44)))</f>
        <v>-0.2994855808949417</v>
      </c>
      <c r="E76" s="56"/>
      <c r="K76" s="386" t="s">
        <v>342</v>
      </c>
      <c r="L76" s="35" t="s">
        <v>317</v>
      </c>
      <c r="R76" s="55" t="s">
        <v>43</v>
      </c>
      <c r="S76" s="16">
        <f>IF(S54*S44&lt;0,-TAN(RADIANS(SIGN(S44)*S44)),TAN(RADIANS(SIGN(S44)*S44)))</f>
        <v>77.17210798938764</v>
      </c>
      <c r="T76" s="56"/>
      <c r="Z76" s="386" t="s">
        <v>342</v>
      </c>
      <c r="AA76" s="35" t="s">
        <v>317</v>
      </c>
      <c r="AG76" s="55" t="s">
        <v>43</v>
      </c>
      <c r="AH76" s="16">
        <f>IF(AH54*AH44&lt;0,-TAN(RADIANS(SIGN(AH44)*AH44)),TAN(RADIANS(SIGN(AH44)*AH44)))</f>
        <v>0.34800984994524814</v>
      </c>
      <c r="AI76" s="56"/>
      <c r="AO76" s="386" t="s">
        <v>342</v>
      </c>
      <c r="AP76" s="35" t="s">
        <v>317</v>
      </c>
      <c r="AV76" s="55" t="s">
        <v>43</v>
      </c>
      <c r="AW76" s="16" t="e">
        <f>IF(AW54*AW44&lt;0,-TAN(RADIANS(SIGN(AW44)*AW44)),TAN(RADIANS(SIGN(AW44)*AW44)))</f>
        <v>#VALUE!</v>
      </c>
      <c r="AX76" s="56"/>
      <c r="BD76" s="386" t="s">
        <v>342</v>
      </c>
      <c r="BE76" s="35" t="s">
        <v>317</v>
      </c>
      <c r="BK76" s="55" t="s">
        <v>43</v>
      </c>
      <c r="BL76" s="16" t="e">
        <f>IF(BL54*BL44&lt;0,-TAN(RADIANS(SIGN(BL44)*BL44)),TAN(RADIANS(SIGN(BL44)*BL44)))</f>
        <v>#VALUE!</v>
      </c>
      <c r="BM76" s="56"/>
      <c r="BS76" s="386" t="s">
        <v>342</v>
      </c>
      <c r="BT76" s="35" t="s">
        <v>317</v>
      </c>
      <c r="BZ76" s="55" t="s">
        <v>43</v>
      </c>
      <c r="CA76" s="16">
        <f>IF(CA54*CA44&lt;0,-TAN(RADIANS(SIGN(CA44)*CA44)),TAN(RADIANS(SIGN(CA44)*CA44)))</f>
        <v>-77.17210798938764</v>
      </c>
      <c r="CB76" s="56"/>
      <c r="CH76" s="386" t="s">
        <v>342</v>
      </c>
      <c r="CI76" s="35" t="s">
        <v>317</v>
      </c>
      <c r="CW76" s="423"/>
      <c r="CX76" s="224"/>
      <c r="CY76" s="224"/>
      <c r="CZ76" s="224"/>
      <c r="DA76" s="224"/>
      <c r="DB76" s="224"/>
      <c r="DC76" s="224"/>
      <c r="DD76" s="224"/>
      <c r="DE76" s="224"/>
      <c r="DF76" s="224"/>
      <c r="DG76" s="424"/>
    </row>
    <row r="77" spans="3:111" ht="12.75">
      <c r="C77" s="62" t="s">
        <v>44</v>
      </c>
      <c r="D77" s="26">
        <f>TAN(RADIANS(SIGN(D54)*D54))</f>
        <v>0.4896496924295912</v>
      </c>
      <c r="E77" s="63"/>
      <c r="F77" s="79" t="s">
        <v>237</v>
      </c>
      <c r="K77" s="387">
        <f>HLOOKUP(K79,$P$118:$DG$119,1)</f>
        <v>32</v>
      </c>
      <c r="L77" s="388">
        <f>HLOOKUP(K79,$P$118:$DG$119,2)</f>
        <v>-1.52</v>
      </c>
      <c r="R77" s="62" t="s">
        <v>44</v>
      </c>
      <c r="S77" s="26">
        <f>TAN(RADIANS(SIGN(S54)*S54))</f>
        <v>0.4896496924295912</v>
      </c>
      <c r="T77" s="63"/>
      <c r="U77" s="79" t="s">
        <v>237</v>
      </c>
      <c r="Z77" s="387">
        <f>HLOOKUP(Z79,$P$118:$DG$119,1)</f>
        <v>26</v>
      </c>
      <c r="AA77" s="388">
        <f>HLOOKUP(Z79,$P$118:$DG$119,2)</f>
        <v>-1.93</v>
      </c>
      <c r="AG77" s="62" t="s">
        <v>44</v>
      </c>
      <c r="AH77" s="26">
        <f>TAN(RADIANS(SIGN(AH54)*AH54))</f>
        <v>0.4896496924295912</v>
      </c>
      <c r="AI77" s="63"/>
      <c r="AJ77" s="79" t="s">
        <v>237</v>
      </c>
      <c r="AO77" s="387">
        <f>HLOOKUP(AO79,$P$118:$DG$119,1)</f>
        <v>24</v>
      </c>
      <c r="AP77" s="388">
        <f>HLOOKUP(AO79,$P$118:$DG$119,2)</f>
        <v>-2.13</v>
      </c>
      <c r="AV77" s="62" t="s">
        <v>44</v>
      </c>
      <c r="AW77" s="26">
        <f>TAN(RADIANS(SIGN(AW54)*AW54))</f>
        <v>0.4896496924295912</v>
      </c>
      <c r="AX77" s="63"/>
      <c r="AY77" s="79" t="s">
        <v>237</v>
      </c>
      <c r="BD77" s="387">
        <f>HLOOKUP(BD79,$P$118:$DG$119,1)</f>
        <v>0</v>
      </c>
      <c r="BE77" s="388">
        <f>HLOOKUP(BD79,$P$118:$DG$119,2)</f>
        <v>-33</v>
      </c>
      <c r="BK77" s="62" t="s">
        <v>44</v>
      </c>
      <c r="BL77" s="26">
        <f>TAN(RADIANS(SIGN(BL54)*BL54))</f>
        <v>0.4896496924295912</v>
      </c>
      <c r="BM77" s="63"/>
      <c r="BN77" s="79" t="s">
        <v>237</v>
      </c>
      <c r="BS77" s="387">
        <f>HLOOKUP(BS79,$P$118:$DG$119,1)</f>
        <v>0</v>
      </c>
      <c r="BT77" s="388">
        <f>HLOOKUP(BS79,$P$118:$DG$119,2)</f>
        <v>-33</v>
      </c>
      <c r="BZ77" s="62" t="s">
        <v>44</v>
      </c>
      <c r="CA77" s="26">
        <f>TAN(RADIANS(SIGN(CA54)*CA54))</f>
        <v>0.9453224349105002</v>
      </c>
      <c r="CB77" s="63"/>
      <c r="CC77" s="79" t="s">
        <v>237</v>
      </c>
      <c r="CH77" s="387">
        <f>HLOOKUP(CH79,$P$118:$DG$119,1)</f>
        <v>0</v>
      </c>
      <c r="CI77" s="388">
        <f>HLOOKUP(CH79,$P$118:$DG$119,2)</f>
        <v>-33</v>
      </c>
      <c r="CW77" s="423"/>
      <c r="CX77" s="224"/>
      <c r="CY77" s="224"/>
      <c r="CZ77" s="224"/>
      <c r="DA77" s="224"/>
      <c r="DB77" s="430" t="s">
        <v>349</v>
      </c>
      <c r="DC77" s="430"/>
      <c r="DD77" s="430">
        <f>IF(G10&lt;&gt;"",H10,IF(G11&lt;&gt;"",H11,H12))</f>
        <v>0</v>
      </c>
      <c r="DE77" s="431"/>
      <c r="DF77" s="431"/>
      <c r="DG77" s="424"/>
    </row>
    <row r="78" spans="3:111" ht="12.75">
      <c r="C78" s="62" t="s">
        <v>45</v>
      </c>
      <c r="D78" s="26">
        <f>COS(RADIANS(SIGN(D54)*D54))</f>
        <v>0.8981145799113364</v>
      </c>
      <c r="E78" s="64"/>
      <c r="K78" s="387">
        <f>INDEX($P$118:$DG$119,1,MATCH(K79,$P$118:$DG$118,1)+1)</f>
        <v>34</v>
      </c>
      <c r="L78" s="388">
        <f>INDEX($P$118:$DG$119,2,MATCH(K79,$P$118:$DG$118,1)+1)</f>
        <v>-1.4</v>
      </c>
      <c r="R78" s="62" t="s">
        <v>45</v>
      </c>
      <c r="S78" s="26">
        <f>COS(RADIANS(SIGN(S54)*S54))</f>
        <v>0.8981145799113364</v>
      </c>
      <c r="T78" s="64"/>
      <c r="Z78" s="387">
        <f>INDEX($P$118:$DG$119,1,MATCH(Z79,$P$118:$DG$118,1)+1)</f>
        <v>27</v>
      </c>
      <c r="AA78" s="388">
        <f>INDEX($P$118:$DG$119,2,MATCH(Z79,$P$118:$DG$118,1)+1)</f>
        <v>-1.85</v>
      </c>
      <c r="AG78" s="62" t="s">
        <v>45</v>
      </c>
      <c r="AH78" s="26">
        <f>COS(RADIANS(SIGN(AH54)*AH54))</f>
        <v>0.8981145799113364</v>
      </c>
      <c r="AI78" s="64"/>
      <c r="AO78" s="387">
        <f>INDEX($P$118:$DG$119,1,MATCH(AO79,$P$118:$DG$118,1)+1)</f>
        <v>25</v>
      </c>
      <c r="AP78" s="388">
        <f>INDEX($P$118:$DG$119,2,MATCH(AO79,$P$118:$DG$118,1)+1)</f>
        <v>-2.03</v>
      </c>
      <c r="AV78" s="62" t="s">
        <v>45</v>
      </c>
      <c r="AW78" s="26">
        <f>COS(RADIANS(SIGN(AW54)*AW54))</f>
        <v>0.8981145799113364</v>
      </c>
      <c r="AX78" s="64"/>
      <c r="BD78" s="387">
        <f>INDEX($P$118:$DG$119,1,MATCH(BD79,$P$118:$DG$118,1)+1)</f>
        <v>0.167</v>
      </c>
      <c r="BE78" s="388">
        <f>INDEX($P$118:$DG$119,2,MATCH(BD79,$P$118:$DG$118,1)+1)</f>
        <v>-31.37</v>
      </c>
      <c r="BK78" s="62" t="s">
        <v>45</v>
      </c>
      <c r="BL78" s="26">
        <f>COS(RADIANS(SIGN(BL54)*BL54))</f>
        <v>0.8981145799113364</v>
      </c>
      <c r="BM78" s="64"/>
      <c r="BS78" s="387">
        <f>INDEX($P$118:$DG$119,1,MATCH(BS79,$P$118:$DG$118,1)+1)</f>
        <v>0.167</v>
      </c>
      <c r="BT78" s="388">
        <f>INDEX($P$118:$DG$119,2,MATCH(BS79,$P$118:$DG$118,1)+1)</f>
        <v>-31.37</v>
      </c>
      <c r="BZ78" s="62" t="s">
        <v>45</v>
      </c>
      <c r="CA78" s="26">
        <f>COS(RADIANS(SIGN(CA54)*CA54))</f>
        <v>0.7266945792971308</v>
      </c>
      <c r="CB78" s="64"/>
      <c r="CH78" s="387">
        <f>INDEX($P$118:$DG$119,1,MATCH(CH79,$P$118:$DG$118,1)+1)</f>
        <v>0.167</v>
      </c>
      <c r="CI78" s="388">
        <f>INDEX($P$118:$DG$119,2,MATCH(CH79,$P$118:$DG$118,1)+1)</f>
        <v>-31.37</v>
      </c>
      <c r="CW78" s="428"/>
      <c r="CX78" s="427"/>
      <c r="CY78" s="427"/>
      <c r="CZ78" s="427"/>
      <c r="DA78" s="427"/>
      <c r="DB78" s="427"/>
      <c r="DC78" s="427"/>
      <c r="DD78" s="427"/>
      <c r="DE78" s="427"/>
      <c r="DF78" s="427"/>
      <c r="DG78" s="429"/>
    </row>
    <row r="79" spans="3:87" ht="13.5" thickBot="1">
      <c r="C79" s="65" t="s">
        <v>225</v>
      </c>
      <c r="D79" s="66">
        <f>DEGREES(ATAN(SIN(RADIANS(D38))/((D76-D77*COS(RADIANS(D38)))*D78)))</f>
        <v>-46.30965427320262</v>
      </c>
      <c r="E79" s="67"/>
      <c r="K79" s="389">
        <f>H27+I27/60</f>
        <v>32.555</v>
      </c>
      <c r="L79" s="390">
        <f>ROUND(L77+(L78-L77)/(K78-K77)*(K79-K77),1)</f>
        <v>-1.5</v>
      </c>
      <c r="R79" s="65" t="s">
        <v>225</v>
      </c>
      <c r="S79" s="66">
        <f>DEGREES(ATAN(SIN(RADIANS(S38))/((S76-S77*COS(RADIANS(S38)))*S78)))</f>
        <v>0.7987164269610564</v>
      </c>
      <c r="T79" s="67"/>
      <c r="Z79" s="389">
        <f>W27+X27/60</f>
        <v>26.086666666666666</v>
      </c>
      <c r="AA79" s="390">
        <f>ROUND(AA77+(AA78-AA77)/(Z78-Z77)*(Z79-Z77),1)</f>
        <v>-1.9</v>
      </c>
      <c r="AG79" s="65" t="s">
        <v>225</v>
      </c>
      <c r="AH79" s="66">
        <f>DEGREES(ATAN(SIN(RADIANS(AH38))/((AH76-AH77*COS(RADIANS(AH38)))*AH78)))</f>
        <v>79.45025872314828</v>
      </c>
      <c r="AI79" s="67"/>
      <c r="AO79" s="389">
        <f>AL27+AM27/60</f>
        <v>24.136666666666667</v>
      </c>
      <c r="AP79" s="390">
        <f>ROUND(AP77+(AP78-AP77)/(AO78-AO77)*(AO79-AO77),1)</f>
        <v>-2.1</v>
      </c>
      <c r="AV79" s="65" t="s">
        <v>225</v>
      </c>
      <c r="AW79" s="66" t="e">
        <f>DEGREES(ATAN(SIN(RADIANS(AW38))/((AW76-AW77*COS(RADIANS(AW38)))*AW78)))</f>
        <v>#VALUE!</v>
      </c>
      <c r="AX79" s="67"/>
      <c r="BD79" s="389">
        <f>BA27+BB27/60</f>
        <v>0</v>
      </c>
      <c r="BE79" s="390">
        <f>ROUND(BE77+(BE78-BE77)/(BD78-BD77)*(BD79-BD77),1)</f>
        <v>-33</v>
      </c>
      <c r="BK79" s="65" t="s">
        <v>225</v>
      </c>
      <c r="BL79" s="66" t="e">
        <f>DEGREES(ATAN(SIN(RADIANS(BL38))/((BL76-BL77*COS(RADIANS(BL38)))*BL78)))</f>
        <v>#VALUE!</v>
      </c>
      <c r="BM79" s="67"/>
      <c r="BS79" s="389">
        <f>BP27+BQ27/60</f>
        <v>0</v>
      </c>
      <c r="BT79" s="390">
        <f>ROUND(BT77+(BT78-BT77)/(BS78-BS77)*(BS79-BS77),1)</f>
        <v>-33</v>
      </c>
      <c r="BZ79" s="65" t="s">
        <v>225</v>
      </c>
      <c r="CA79" s="66">
        <f>DEGREES(ATAN(SIN(RADIANS(CA38))/((CA76-CA77*COS(RADIANS(CA38)))*CA78)))</f>
        <v>-0.418769577562264</v>
      </c>
      <c r="CB79" s="67"/>
      <c r="CH79" s="389">
        <f>CE27+CF27/60</f>
        <v>0</v>
      </c>
      <c r="CI79" s="390">
        <f>ROUND(CI77+(CI78-CI77)/(CH78-CH77)*(CH79-CH77),1)</f>
        <v>-33</v>
      </c>
    </row>
    <row r="80" spans="3:80" ht="12.75">
      <c r="C80" s="17"/>
      <c r="D80" s="84"/>
      <c r="E80" s="184"/>
      <c r="R80" s="17"/>
      <c r="S80" s="84"/>
      <c r="T80" s="184"/>
      <c r="AG80" s="17"/>
      <c r="AH80" s="84"/>
      <c r="AI80" s="184"/>
      <c r="AV80" s="17"/>
      <c r="AW80" s="84"/>
      <c r="AX80" s="184"/>
      <c r="BK80" s="17"/>
      <c r="BL80" s="84"/>
      <c r="BM80" s="184"/>
      <c r="BZ80" s="17"/>
      <c r="CA80" s="84"/>
      <c r="CB80" s="184"/>
    </row>
    <row r="81" spans="1:96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</row>
    <row r="82" spans="18:65" ht="13.5" thickBot="1">
      <c r="R82" s="17"/>
      <c r="S82" s="84"/>
      <c r="T82" s="184"/>
      <c r="AG82" s="17"/>
      <c r="AH82" s="84"/>
      <c r="AI82" s="184"/>
      <c r="AV82" s="17"/>
      <c r="AW82" s="84"/>
      <c r="AX82" s="184"/>
      <c r="BK82" s="17"/>
      <c r="BL82" s="84"/>
      <c r="BM82" s="184"/>
    </row>
    <row r="83" spans="2:65" ht="13.5" thickBot="1">
      <c r="B83" s="7" t="s">
        <v>153</v>
      </c>
      <c r="C83" s="151" t="s">
        <v>409</v>
      </c>
      <c r="D83" s="152"/>
      <c r="E83" s="153"/>
      <c r="F83" s="151" t="s">
        <v>159</v>
      </c>
      <c r="G83" s="153"/>
      <c r="H83" s="8" t="s">
        <v>154</v>
      </c>
      <c r="I83" s="154" t="s">
        <v>155</v>
      </c>
      <c r="J83" s="154" t="s">
        <v>156</v>
      </c>
      <c r="K83" s="154" t="s">
        <v>157</v>
      </c>
      <c r="L83" s="155" t="s">
        <v>158</v>
      </c>
      <c r="R83" s="17"/>
      <c r="S83" s="84"/>
      <c r="T83" s="184"/>
      <c r="AG83" s="17"/>
      <c r="AH83" s="84"/>
      <c r="AI83" s="184"/>
      <c r="AV83" s="17"/>
      <c r="AW83" s="84"/>
      <c r="AX83" s="184"/>
      <c r="BK83" s="17"/>
      <c r="BL83" s="84"/>
      <c r="BM83" s="184"/>
    </row>
    <row r="84" spans="2:65" ht="12.75">
      <c r="B84" s="156">
        <v>1</v>
      </c>
      <c r="C84" s="157" t="s">
        <v>160</v>
      </c>
      <c r="D84" s="158"/>
      <c r="E84" s="159"/>
      <c r="F84" s="160" t="s">
        <v>186</v>
      </c>
      <c r="G84" s="159"/>
      <c r="H84" s="161">
        <v>2.2</v>
      </c>
      <c r="I84" s="162">
        <v>358.145</v>
      </c>
      <c r="J84" s="163">
        <v>-0.0129</v>
      </c>
      <c r="K84" s="162">
        <v>28.985</v>
      </c>
      <c r="L84" s="164">
        <v>0.0056</v>
      </c>
      <c r="R84" s="17"/>
      <c r="S84" s="84"/>
      <c r="T84" s="184"/>
      <c r="AG84" s="17"/>
      <c r="AH84" s="84"/>
      <c r="AI84" s="184"/>
      <c r="AV84" s="17"/>
      <c r="AW84" s="84"/>
      <c r="AX84" s="184"/>
      <c r="BK84" s="17"/>
      <c r="BL84" s="84"/>
      <c r="BM84" s="184"/>
    </row>
    <row r="85" spans="2:65" ht="12.75">
      <c r="B85" s="36">
        <v>2</v>
      </c>
      <c r="C85" s="142" t="s">
        <v>161</v>
      </c>
      <c r="D85" s="26"/>
      <c r="E85" s="64"/>
      <c r="F85" s="118" t="s">
        <v>187</v>
      </c>
      <c r="G85" s="64"/>
      <c r="H85" s="147">
        <v>2.4</v>
      </c>
      <c r="I85" s="148">
        <v>357.955</v>
      </c>
      <c r="J85" s="149">
        <v>-0.0131</v>
      </c>
      <c r="K85" s="148">
        <v>59.042</v>
      </c>
      <c r="L85" s="165">
        <v>0.0056</v>
      </c>
      <c r="M85" s="26"/>
      <c r="N85" s="26"/>
      <c r="O85" s="26"/>
      <c r="P85" s="26"/>
      <c r="Q85" s="26"/>
      <c r="R85" s="17"/>
      <c r="S85" s="84"/>
      <c r="T85" s="184"/>
      <c r="AG85" s="17"/>
      <c r="AH85" s="84"/>
      <c r="AI85" s="184"/>
      <c r="AV85" s="17"/>
      <c r="AW85" s="84"/>
      <c r="AX85" s="184"/>
      <c r="BK85" s="17"/>
      <c r="BL85" s="84"/>
      <c r="BM85" s="184"/>
    </row>
    <row r="86" spans="2:65" ht="12.75">
      <c r="B86" s="36">
        <v>7</v>
      </c>
      <c r="C86" s="142" t="s">
        <v>162</v>
      </c>
      <c r="D86" s="26"/>
      <c r="E86" s="64"/>
      <c r="F86" s="118" t="s">
        <v>188</v>
      </c>
      <c r="G86" s="64"/>
      <c r="H86" s="147">
        <v>2.2</v>
      </c>
      <c r="I86" s="148">
        <v>349.338</v>
      </c>
      <c r="J86" s="149">
        <v>-0.0125</v>
      </c>
      <c r="K86" s="148">
        <v>-18.088</v>
      </c>
      <c r="L86" s="165">
        <v>-0.0055</v>
      </c>
      <c r="M86" s="26"/>
      <c r="N86" s="26"/>
      <c r="O86" s="26"/>
      <c r="P86" s="26"/>
      <c r="Q86" s="26"/>
      <c r="R86" s="17"/>
      <c r="S86" s="84"/>
      <c r="T86" s="184"/>
      <c r="AG86" s="17"/>
      <c r="AH86" s="84"/>
      <c r="AI86" s="184"/>
      <c r="AV86" s="17"/>
      <c r="AW86" s="84"/>
      <c r="AX86" s="184"/>
      <c r="BK86" s="17"/>
      <c r="BL86" s="84"/>
      <c r="BM86" s="184"/>
    </row>
    <row r="87" spans="2:65" ht="12.75">
      <c r="B87" s="36">
        <v>11</v>
      </c>
      <c r="C87" s="142" t="s">
        <v>163</v>
      </c>
      <c r="D87" s="26"/>
      <c r="E87" s="64"/>
      <c r="F87" s="118" t="s">
        <v>189</v>
      </c>
      <c r="G87" s="64"/>
      <c r="H87" s="147">
        <v>0.6</v>
      </c>
      <c r="I87" s="148">
        <v>335.752</v>
      </c>
      <c r="J87" s="149">
        <v>-0.0092</v>
      </c>
      <c r="K87" s="148">
        <v>-57.328</v>
      </c>
      <c r="L87" s="165">
        <v>-0.0051</v>
      </c>
      <c r="M87" s="26"/>
      <c r="N87" s="26"/>
      <c r="O87" s="26"/>
      <c r="P87" s="26"/>
      <c r="Q87" s="26"/>
      <c r="R87" s="17"/>
      <c r="S87" s="84"/>
      <c r="T87" s="184"/>
      <c r="AG87" s="17"/>
      <c r="AH87" s="84"/>
      <c r="AI87" s="184"/>
      <c r="AV87" s="17"/>
      <c r="AW87" s="84"/>
      <c r="AX87" s="184"/>
      <c r="BK87" s="17"/>
      <c r="BL87" s="84"/>
      <c r="BM87" s="184"/>
    </row>
    <row r="88" spans="2:65" ht="12.75">
      <c r="B88" s="36">
        <v>20</v>
      </c>
      <c r="C88" s="142" t="s">
        <v>164</v>
      </c>
      <c r="D88" s="119"/>
      <c r="E88" s="143"/>
      <c r="F88" s="118" t="s">
        <v>190</v>
      </c>
      <c r="G88" s="143"/>
      <c r="H88" s="147">
        <v>1.9</v>
      </c>
      <c r="I88" s="148">
        <v>309.262</v>
      </c>
      <c r="J88" s="150">
        <v>-0.0179</v>
      </c>
      <c r="K88" s="148">
        <v>49.792</v>
      </c>
      <c r="L88" s="165">
        <v>0.0035</v>
      </c>
      <c r="M88" s="119"/>
      <c r="N88" s="119"/>
      <c r="O88" s="119"/>
      <c r="P88" s="119"/>
      <c r="Q88" s="119"/>
      <c r="R88" s="17"/>
      <c r="S88" s="84"/>
      <c r="T88" s="184"/>
      <c r="AG88" s="17"/>
      <c r="AH88" s="84"/>
      <c r="AI88" s="184"/>
      <c r="AV88" s="17"/>
      <c r="AW88" s="84"/>
      <c r="AX88" s="184"/>
      <c r="BK88" s="17"/>
      <c r="BL88" s="84"/>
      <c r="BM88" s="184"/>
    </row>
    <row r="89" spans="2:65" ht="12.75">
      <c r="B89" s="36">
        <v>24</v>
      </c>
      <c r="C89" s="142" t="s">
        <v>165</v>
      </c>
      <c r="D89" s="26"/>
      <c r="E89" s="64"/>
      <c r="F89" s="118" t="s">
        <v>191</v>
      </c>
      <c r="G89" s="64"/>
      <c r="H89" s="147">
        <v>1.1</v>
      </c>
      <c r="I89" s="148">
        <v>291.295</v>
      </c>
      <c r="J89" s="149">
        <v>-0.0143</v>
      </c>
      <c r="K89" s="148">
        <v>16.47</v>
      </c>
      <c r="L89" s="165">
        <v>0.002</v>
      </c>
      <c r="M89" s="26"/>
      <c r="N89" s="26"/>
      <c r="O89" s="26"/>
      <c r="P89" s="26"/>
      <c r="Q89" s="26"/>
      <c r="R89" s="17"/>
      <c r="S89" s="84"/>
      <c r="T89" s="184"/>
      <c r="AG89" s="17"/>
      <c r="AH89" s="84"/>
      <c r="AI89" s="184"/>
      <c r="AV89" s="17"/>
      <c r="AW89" s="84"/>
      <c r="AX89" s="184"/>
      <c r="BK89" s="17"/>
      <c r="BL89" s="84"/>
      <c r="BM89" s="184"/>
    </row>
    <row r="90" spans="2:65" ht="12.75">
      <c r="B90" s="43">
        <v>27</v>
      </c>
      <c r="C90" s="142" t="s">
        <v>166</v>
      </c>
      <c r="D90" s="84"/>
      <c r="E90" s="144"/>
      <c r="F90" s="145" t="s">
        <v>192</v>
      </c>
      <c r="G90" s="133"/>
      <c r="H90" s="147">
        <v>0.3</v>
      </c>
      <c r="I90" s="148">
        <v>281.597</v>
      </c>
      <c r="J90" s="149">
        <v>-0.012</v>
      </c>
      <c r="K90" s="148">
        <v>-8.223</v>
      </c>
      <c r="L90" s="165">
        <v>-0.0011</v>
      </c>
      <c r="M90" s="18"/>
      <c r="N90" s="18"/>
      <c r="O90" s="18"/>
      <c r="P90" s="18"/>
      <c r="Q90" s="18"/>
      <c r="R90" s="17"/>
      <c r="S90" s="84"/>
      <c r="T90" s="184"/>
      <c r="AG90" s="17"/>
      <c r="AH90" s="84"/>
      <c r="AI90" s="184"/>
      <c r="AV90" s="17"/>
      <c r="AW90" s="84"/>
      <c r="AX90" s="184"/>
      <c r="BK90" s="17"/>
      <c r="BL90" s="84"/>
      <c r="BM90" s="184"/>
    </row>
    <row r="91" spans="2:65" ht="12.75">
      <c r="B91" s="36">
        <v>28</v>
      </c>
      <c r="C91" s="142" t="s">
        <v>167</v>
      </c>
      <c r="D91" s="84"/>
      <c r="E91" s="144"/>
      <c r="F91" s="146" t="s">
        <v>193</v>
      </c>
      <c r="G91" s="64"/>
      <c r="H91" s="147">
        <v>0.2</v>
      </c>
      <c r="I91" s="148">
        <v>281.183</v>
      </c>
      <c r="J91" s="149">
        <v>-0.0184</v>
      </c>
      <c r="K91" s="148">
        <v>45.978</v>
      </c>
      <c r="L91" s="165">
        <v>0.0011</v>
      </c>
      <c r="M91" s="84"/>
      <c r="N91" s="84"/>
      <c r="O91" s="84"/>
      <c r="P91" s="84"/>
      <c r="Q91" s="84"/>
      <c r="R91" s="17"/>
      <c r="S91" s="84"/>
      <c r="T91" s="184"/>
      <c r="AG91" s="17"/>
      <c r="AH91" s="84"/>
      <c r="AI91" s="184"/>
      <c r="AV91" s="17"/>
      <c r="AW91" s="84"/>
      <c r="AX91" s="184"/>
      <c r="BK91" s="17"/>
      <c r="BL91" s="84"/>
      <c r="BM91" s="184"/>
    </row>
    <row r="92" spans="2:65" ht="12.75">
      <c r="B92" s="36">
        <v>40</v>
      </c>
      <c r="C92" s="142" t="s">
        <v>168</v>
      </c>
      <c r="D92" s="84"/>
      <c r="E92" s="144"/>
      <c r="F92" s="146" t="s">
        <v>194</v>
      </c>
      <c r="G92" s="64"/>
      <c r="H92" s="147">
        <v>-1.2</v>
      </c>
      <c r="I92" s="148">
        <v>271.467</v>
      </c>
      <c r="J92" s="149">
        <v>-0.0135</v>
      </c>
      <c r="K92" s="148">
        <v>7.403</v>
      </c>
      <c r="L92" s="165">
        <v>0.0001</v>
      </c>
      <c r="M92" s="84"/>
      <c r="N92" s="84"/>
      <c r="O92" s="84"/>
      <c r="P92" s="84"/>
      <c r="Q92" s="84"/>
      <c r="R92" s="17"/>
      <c r="S92" s="84"/>
      <c r="T92" s="184"/>
      <c r="AG92" s="17"/>
      <c r="AH92" s="84"/>
      <c r="AI92" s="184"/>
      <c r="AV92" s="17"/>
      <c r="AW92" s="84"/>
      <c r="AX92" s="184"/>
      <c r="BK92" s="17"/>
      <c r="BL92" s="84"/>
      <c r="BM92" s="184"/>
    </row>
    <row r="93" spans="2:65" ht="12.75">
      <c r="B93" s="36">
        <v>44</v>
      </c>
      <c r="C93" s="142" t="s">
        <v>169</v>
      </c>
      <c r="D93" s="84"/>
      <c r="E93" s="144"/>
      <c r="F93" s="146" t="s">
        <v>195</v>
      </c>
      <c r="G93" s="64"/>
      <c r="H93" s="147">
        <v>-0.9</v>
      </c>
      <c r="I93" s="148">
        <v>264.125</v>
      </c>
      <c r="J93" s="149">
        <v>-0.0056</v>
      </c>
      <c r="K93" s="148">
        <v>-52.687</v>
      </c>
      <c r="L93" s="165">
        <v>0.0006</v>
      </c>
      <c r="M93" s="84"/>
      <c r="N93" s="84"/>
      <c r="O93" s="84"/>
      <c r="P93" s="84"/>
      <c r="Q93" s="84"/>
      <c r="R93" s="17"/>
      <c r="S93" s="84"/>
      <c r="T93" s="184"/>
      <c r="AG93" s="17"/>
      <c r="AH93" s="84"/>
      <c r="AI93" s="184"/>
      <c r="AV93" s="17"/>
      <c r="AW93" s="84"/>
      <c r="AX93" s="184"/>
      <c r="BK93" s="17"/>
      <c r="BL93" s="84"/>
      <c r="BM93" s="184"/>
    </row>
    <row r="94" spans="2:65" ht="12.75">
      <c r="B94" s="36">
        <v>46</v>
      </c>
      <c r="C94" s="142" t="s">
        <v>170</v>
      </c>
      <c r="D94" s="84"/>
      <c r="E94" s="144"/>
      <c r="F94" s="146" t="s">
        <v>196</v>
      </c>
      <c r="G94" s="64"/>
      <c r="H94" s="147">
        <v>-1.6</v>
      </c>
      <c r="I94" s="148">
        <v>258.927</v>
      </c>
      <c r="J94" s="149">
        <v>-0.0111</v>
      </c>
      <c r="K94" s="148">
        <v>-16.692</v>
      </c>
      <c r="L94" s="165">
        <v>0.0011</v>
      </c>
      <c r="M94" s="84"/>
      <c r="N94" s="84"/>
      <c r="O94" s="84"/>
      <c r="P94" s="84"/>
      <c r="Q94" s="84"/>
      <c r="R94" s="17"/>
      <c r="S94" s="84"/>
      <c r="T94" s="184"/>
      <c r="AG94" s="17"/>
      <c r="AH94" s="84"/>
      <c r="AI94" s="184"/>
      <c r="AV94" s="17"/>
      <c r="AW94" s="84"/>
      <c r="AX94" s="184"/>
      <c r="BK94" s="17"/>
      <c r="BL94" s="84"/>
      <c r="BM94" s="184"/>
    </row>
    <row r="95" spans="2:65" ht="12.75">
      <c r="B95" s="36">
        <v>55</v>
      </c>
      <c r="C95" s="142" t="s">
        <v>171</v>
      </c>
      <c r="D95" s="84"/>
      <c r="E95" s="144"/>
      <c r="F95" s="146" t="s">
        <v>197</v>
      </c>
      <c r="G95" s="64"/>
      <c r="H95" s="147">
        <v>0.5</v>
      </c>
      <c r="I95" s="148">
        <v>245.427</v>
      </c>
      <c r="J95" s="149">
        <v>-0.0131</v>
      </c>
      <c r="K95" s="148">
        <v>5.273</v>
      </c>
      <c r="L95" s="165">
        <v>-0.0023</v>
      </c>
      <c r="M95" s="84"/>
      <c r="N95" s="84"/>
      <c r="O95" s="84"/>
      <c r="P95" s="84"/>
      <c r="Q95" s="84"/>
      <c r="R95" s="17"/>
      <c r="S95" s="84"/>
      <c r="T95" s="184"/>
      <c r="AG95" s="17"/>
      <c r="AH95" s="84"/>
      <c r="AI95" s="184"/>
      <c r="AV95" s="17"/>
      <c r="AW95" s="84"/>
      <c r="AX95" s="184"/>
      <c r="BK95" s="17"/>
      <c r="BL95" s="84"/>
      <c r="BM95" s="184"/>
    </row>
    <row r="96" spans="2:65" ht="12.75">
      <c r="B96" s="36">
        <v>56</v>
      </c>
      <c r="C96" s="142" t="s">
        <v>172</v>
      </c>
      <c r="D96" s="84"/>
      <c r="E96" s="144"/>
      <c r="F96" s="146" t="s">
        <v>198</v>
      </c>
      <c r="G96" s="64"/>
      <c r="H96" s="147">
        <v>1.2</v>
      </c>
      <c r="I96" s="148">
        <v>243.965</v>
      </c>
      <c r="J96" s="149">
        <v>-0.0153</v>
      </c>
      <c r="K96" s="148">
        <v>28.072</v>
      </c>
      <c r="L96" s="165">
        <v>-0.0025</v>
      </c>
      <c r="M96" s="84"/>
      <c r="N96" s="84"/>
      <c r="O96" s="84"/>
      <c r="P96" s="84"/>
      <c r="Q96" s="84"/>
      <c r="R96" s="17"/>
      <c r="S96" s="84"/>
      <c r="T96" s="184"/>
      <c r="AG96" s="17"/>
      <c r="AH96" s="84"/>
      <c r="AI96" s="184"/>
      <c r="AV96" s="17"/>
      <c r="AW96" s="84"/>
      <c r="AX96" s="184"/>
      <c r="BK96" s="17"/>
      <c r="BL96" s="84"/>
      <c r="BM96" s="184"/>
    </row>
    <row r="97" spans="2:65" ht="12.75">
      <c r="B97" s="36">
        <v>67</v>
      </c>
      <c r="C97" s="142" t="s">
        <v>173</v>
      </c>
      <c r="D97" s="84"/>
      <c r="E97" s="144"/>
      <c r="F97" s="146" t="s">
        <v>199</v>
      </c>
      <c r="G97" s="64"/>
      <c r="H97" s="147">
        <v>1.3</v>
      </c>
      <c r="I97" s="148">
        <v>208.16</v>
      </c>
      <c r="J97" s="149">
        <v>-0.0134</v>
      </c>
      <c r="K97" s="148">
        <v>12.06</v>
      </c>
      <c r="L97" s="165">
        <v>-0.0049</v>
      </c>
      <c r="M97" s="84"/>
      <c r="N97" s="84"/>
      <c r="O97" s="84"/>
      <c r="P97" s="84"/>
      <c r="Q97" s="84"/>
      <c r="R97" s="17"/>
      <c r="S97" s="84"/>
      <c r="T97" s="184"/>
      <c r="AG97" s="17"/>
      <c r="AH97" s="84"/>
      <c r="AI97" s="184"/>
      <c r="AV97" s="17"/>
      <c r="AW97" s="84"/>
      <c r="AX97" s="184"/>
      <c r="BK97" s="17"/>
      <c r="BL97" s="84"/>
      <c r="BM97" s="184"/>
    </row>
    <row r="98" spans="2:65" ht="12.75">
      <c r="B98" s="36">
        <v>72</v>
      </c>
      <c r="C98" s="142" t="s">
        <v>174</v>
      </c>
      <c r="D98" s="84"/>
      <c r="E98" s="144"/>
      <c r="F98" s="146" t="s">
        <v>200</v>
      </c>
      <c r="G98" s="64"/>
      <c r="H98" s="147">
        <v>2</v>
      </c>
      <c r="I98" s="148">
        <v>194.363</v>
      </c>
      <c r="J98" s="149">
        <v>-0.0154</v>
      </c>
      <c r="K98" s="148">
        <v>61.857</v>
      </c>
      <c r="L98" s="165">
        <v>-0.0054</v>
      </c>
      <c r="M98" s="84"/>
      <c r="N98" s="84"/>
      <c r="O98" s="84"/>
      <c r="P98" s="84"/>
      <c r="Q98" s="84"/>
      <c r="R98" s="17"/>
      <c r="S98" s="84"/>
      <c r="T98" s="184"/>
      <c r="AG98" s="17"/>
      <c r="AH98" s="84"/>
      <c r="AI98" s="184"/>
      <c r="AV98" s="17"/>
      <c r="AW98" s="84"/>
      <c r="AX98" s="184"/>
      <c r="BK98" s="17"/>
      <c r="BL98" s="84"/>
      <c r="BM98" s="184"/>
    </row>
    <row r="99" spans="2:65" ht="12.75">
      <c r="B99" s="36">
        <v>86</v>
      </c>
      <c r="C99" s="142" t="s">
        <v>175</v>
      </c>
      <c r="D99" s="84"/>
      <c r="E99" s="144"/>
      <c r="F99" s="146" t="s">
        <v>201</v>
      </c>
      <c r="G99" s="64"/>
      <c r="H99" s="147">
        <v>1.5</v>
      </c>
      <c r="I99" s="148">
        <v>168.343</v>
      </c>
      <c r="J99" s="149">
        <v>-0.0147</v>
      </c>
      <c r="K99" s="148">
        <v>-59.59</v>
      </c>
      <c r="L99" s="165">
        <v>0.0054</v>
      </c>
      <c r="M99" s="84"/>
      <c r="N99" s="84"/>
      <c r="O99" s="84"/>
      <c r="P99" s="84"/>
      <c r="Q99" s="84"/>
      <c r="R99" s="17"/>
      <c r="S99" s="84"/>
      <c r="T99" s="184"/>
      <c r="AG99" s="17"/>
      <c r="AH99" s="84"/>
      <c r="AI99" s="184"/>
      <c r="AV99" s="17"/>
      <c r="AW99" s="84"/>
      <c r="AX99" s="184"/>
      <c r="BK99" s="17"/>
      <c r="BL99" s="84"/>
      <c r="BM99" s="184"/>
    </row>
    <row r="100" spans="2:65" ht="12.75">
      <c r="B100" s="36">
        <v>92</v>
      </c>
      <c r="C100" s="142" t="s">
        <v>176</v>
      </c>
      <c r="D100" s="84"/>
      <c r="E100" s="144"/>
      <c r="F100" s="146" t="s">
        <v>202</v>
      </c>
      <c r="G100" s="64"/>
      <c r="H100" s="147">
        <v>1.2</v>
      </c>
      <c r="I100" s="148">
        <v>158.948</v>
      </c>
      <c r="J100" s="149">
        <v>-0.0132</v>
      </c>
      <c r="K100" s="148">
        <v>-11.063</v>
      </c>
      <c r="L100" s="165">
        <v>0.0052</v>
      </c>
      <c r="M100" s="84"/>
      <c r="N100" s="84"/>
      <c r="O100" s="84"/>
      <c r="P100" s="84"/>
      <c r="Q100" s="84"/>
      <c r="R100" s="17"/>
      <c r="S100" s="84"/>
      <c r="T100" s="184"/>
      <c r="AG100" s="17"/>
      <c r="AH100" s="84"/>
      <c r="AI100" s="184"/>
      <c r="AV100" s="17"/>
      <c r="AW100" s="84"/>
      <c r="AX100" s="184"/>
      <c r="BK100" s="17"/>
      <c r="BL100" s="84"/>
      <c r="BM100" s="184"/>
    </row>
    <row r="101" spans="2:65" ht="12.75">
      <c r="B101" s="36">
        <v>99</v>
      </c>
      <c r="C101" s="142" t="s">
        <v>177</v>
      </c>
      <c r="D101" s="84"/>
      <c r="E101" s="144"/>
      <c r="F101" s="146" t="s">
        <v>203</v>
      </c>
      <c r="G101" s="64"/>
      <c r="H101" s="147">
        <v>0.2</v>
      </c>
      <c r="I101" s="148">
        <v>146.297</v>
      </c>
      <c r="J101" s="149">
        <v>-0.0113</v>
      </c>
      <c r="K101" s="148">
        <v>19.282</v>
      </c>
      <c r="L101" s="165">
        <v>-0.0052</v>
      </c>
      <c r="M101" s="84"/>
      <c r="N101" s="84"/>
      <c r="O101" s="84"/>
      <c r="P101" s="84"/>
      <c r="Q101" s="84"/>
      <c r="R101" s="17"/>
      <c r="S101" s="84"/>
      <c r="T101" s="184"/>
      <c r="AG101" s="17"/>
      <c r="AH101" s="84"/>
      <c r="AI101" s="184"/>
      <c r="AV101" s="17"/>
      <c r="AW101" s="84"/>
      <c r="AX101" s="184"/>
      <c r="BK101" s="17"/>
      <c r="BL101" s="84"/>
      <c r="BM101" s="184"/>
    </row>
    <row r="102" spans="2:65" ht="12.75">
      <c r="B102" s="36">
        <v>102</v>
      </c>
      <c r="C102" s="142" t="s">
        <v>178</v>
      </c>
      <c r="D102" s="84"/>
      <c r="E102" s="144"/>
      <c r="F102" s="146" t="s">
        <v>204</v>
      </c>
      <c r="G102" s="64"/>
      <c r="H102" s="147">
        <v>0.3</v>
      </c>
      <c r="I102" s="148">
        <v>140.412</v>
      </c>
      <c r="J102" s="149">
        <v>-0.0192</v>
      </c>
      <c r="K102" s="148">
        <v>-60.76</v>
      </c>
      <c r="L102" s="165">
        <v>0.0043</v>
      </c>
      <c r="M102" s="84"/>
      <c r="N102" s="84"/>
      <c r="O102" s="84"/>
      <c r="P102" s="84"/>
      <c r="Q102" s="84"/>
      <c r="R102" s="17"/>
      <c r="S102" s="84"/>
      <c r="T102" s="184"/>
      <c r="AG102" s="17"/>
      <c r="AH102" s="84"/>
      <c r="AI102" s="184"/>
      <c r="AV102" s="17"/>
      <c r="AW102" s="84"/>
      <c r="AX102" s="184"/>
      <c r="BK102" s="17"/>
      <c r="BL102" s="84"/>
      <c r="BM102" s="184"/>
    </row>
    <row r="103" spans="2:65" ht="12.75">
      <c r="B103" s="36">
        <v>117</v>
      </c>
      <c r="C103" s="142" t="s">
        <v>179</v>
      </c>
      <c r="D103" s="84"/>
      <c r="E103" s="144"/>
      <c r="F103" s="146" t="s">
        <v>205</v>
      </c>
      <c r="G103" s="64"/>
      <c r="H103" s="147">
        <v>1.2</v>
      </c>
      <c r="I103" s="148">
        <v>112.932</v>
      </c>
      <c r="J103" s="149">
        <v>-0.0153</v>
      </c>
      <c r="K103" s="148">
        <v>-26.392</v>
      </c>
      <c r="L103" s="165">
        <v>0.0022</v>
      </c>
      <c r="M103" s="84"/>
      <c r="N103" s="84"/>
      <c r="O103" s="84"/>
      <c r="P103" s="84"/>
      <c r="Q103" s="84"/>
      <c r="R103" s="17"/>
      <c r="S103" s="84"/>
      <c r="T103" s="184"/>
      <c r="AG103" s="17"/>
      <c r="AH103" s="84"/>
      <c r="AI103" s="184"/>
      <c r="AV103" s="17"/>
      <c r="AW103" s="84"/>
      <c r="AX103" s="184"/>
      <c r="BK103" s="17"/>
      <c r="BL103" s="84"/>
      <c r="BM103" s="184"/>
    </row>
    <row r="104" spans="2:65" ht="12.75">
      <c r="B104" s="36">
        <v>139</v>
      </c>
      <c r="C104" s="142" t="s">
        <v>180</v>
      </c>
      <c r="D104" s="84"/>
      <c r="E104" s="144"/>
      <c r="F104" s="146" t="s">
        <v>206</v>
      </c>
      <c r="G104" s="64"/>
      <c r="H104" s="147">
        <v>0.1</v>
      </c>
      <c r="I104" s="148">
        <v>80.917</v>
      </c>
      <c r="J104" s="149">
        <v>-0.0085</v>
      </c>
      <c r="K104" s="148">
        <v>38.767</v>
      </c>
      <c r="L104" s="165">
        <v>0.0009</v>
      </c>
      <c r="M104" s="84"/>
      <c r="N104" s="84"/>
      <c r="O104" s="84"/>
      <c r="P104" s="84"/>
      <c r="Q104" s="84"/>
      <c r="R104" s="17"/>
      <c r="S104" s="84"/>
      <c r="T104" s="184"/>
      <c r="AG104" s="17"/>
      <c r="AH104" s="84"/>
      <c r="AI104" s="184"/>
      <c r="AV104" s="17"/>
      <c r="AW104" s="84"/>
      <c r="AX104" s="184"/>
      <c r="BK104" s="17"/>
      <c r="BL104" s="84"/>
      <c r="BM104" s="184"/>
    </row>
    <row r="105" spans="2:65" ht="12.75">
      <c r="B105" s="36">
        <v>146</v>
      </c>
      <c r="C105" s="142" t="s">
        <v>181</v>
      </c>
      <c r="D105" s="84"/>
      <c r="E105" s="144"/>
      <c r="F105" s="146" t="s">
        <v>207</v>
      </c>
      <c r="G105" s="64"/>
      <c r="H105" s="147">
        <v>0.9</v>
      </c>
      <c r="I105" s="148">
        <v>62.528</v>
      </c>
      <c r="J105" s="149">
        <v>-0.0122</v>
      </c>
      <c r="K105" s="148">
        <v>8.82</v>
      </c>
      <c r="L105" s="165">
        <v>0.0026</v>
      </c>
      <c r="M105" s="84"/>
      <c r="N105" s="84"/>
      <c r="O105" s="84"/>
      <c r="P105" s="84"/>
      <c r="Q105" s="84"/>
      <c r="R105" s="17"/>
      <c r="S105" s="84"/>
      <c r="T105" s="184"/>
      <c r="AG105" s="17"/>
      <c r="AH105" s="84"/>
      <c r="AI105" s="184"/>
      <c r="AV105" s="17"/>
      <c r="AW105" s="84"/>
      <c r="AX105" s="184"/>
      <c r="BK105" s="17"/>
      <c r="BL105" s="84"/>
      <c r="BM105" s="184"/>
    </row>
    <row r="106" spans="2:65" ht="12.75">
      <c r="B106" s="36">
        <v>148</v>
      </c>
      <c r="C106" s="142" t="s">
        <v>182</v>
      </c>
      <c r="D106" s="84"/>
      <c r="E106" s="144"/>
      <c r="F106" s="146" t="s">
        <v>208</v>
      </c>
      <c r="G106" s="64"/>
      <c r="H106" s="147">
        <v>2.1</v>
      </c>
      <c r="I106" s="148">
        <v>53.95</v>
      </c>
      <c r="J106" s="149">
        <v>-0.0197</v>
      </c>
      <c r="K106" s="148">
        <v>-56.793</v>
      </c>
      <c r="L106" s="165">
        <v>-0.0033</v>
      </c>
      <c r="M106" s="84"/>
      <c r="N106" s="84"/>
      <c r="O106" s="84"/>
      <c r="P106" s="84"/>
      <c r="Q106" s="84"/>
      <c r="R106" s="17"/>
      <c r="S106" s="84"/>
      <c r="T106" s="184"/>
      <c r="AG106" s="17"/>
      <c r="AH106" s="84"/>
      <c r="AI106" s="184"/>
      <c r="AV106" s="17"/>
      <c r="AW106" s="84"/>
      <c r="AX106" s="184"/>
      <c r="BK106" s="17"/>
      <c r="BL106" s="84"/>
      <c r="BM106" s="184"/>
    </row>
    <row r="107" spans="2:65" ht="12.75">
      <c r="B107" s="36">
        <v>149</v>
      </c>
      <c r="C107" s="142" t="s">
        <v>183</v>
      </c>
      <c r="D107" s="84"/>
      <c r="E107" s="144"/>
      <c r="F107" s="146" t="s">
        <v>209</v>
      </c>
      <c r="G107" s="64"/>
      <c r="H107" s="147">
        <v>1.3</v>
      </c>
      <c r="I107" s="148">
        <v>49.795</v>
      </c>
      <c r="J107" s="149">
        <v>-0.0085</v>
      </c>
      <c r="K107" s="148">
        <v>45.212</v>
      </c>
      <c r="L107" s="165">
        <v>0.0036</v>
      </c>
      <c r="M107" s="84"/>
      <c r="N107" s="84"/>
      <c r="O107" s="84"/>
      <c r="P107" s="84"/>
      <c r="Q107" s="84"/>
      <c r="R107" s="17"/>
      <c r="S107" s="84"/>
      <c r="T107" s="184"/>
      <c r="AG107" s="17"/>
      <c r="AH107" s="84"/>
      <c r="AI107" s="184"/>
      <c r="AV107" s="17"/>
      <c r="AW107" s="84"/>
      <c r="AX107" s="184"/>
      <c r="BK107" s="17"/>
      <c r="BL107" s="84"/>
      <c r="BM107" s="184"/>
    </row>
    <row r="108" spans="2:65" ht="12.75">
      <c r="B108" s="36">
        <v>157</v>
      </c>
      <c r="C108" s="142" t="s">
        <v>184</v>
      </c>
      <c r="D108" s="84"/>
      <c r="E108" s="144"/>
      <c r="F108" s="146" t="s">
        <v>210</v>
      </c>
      <c r="G108" s="64"/>
      <c r="H108" s="147">
        <v>1.3</v>
      </c>
      <c r="I108" s="148">
        <v>15.845</v>
      </c>
      <c r="J108" s="149">
        <v>-0.0137</v>
      </c>
      <c r="K108" s="148">
        <v>-29.718</v>
      </c>
      <c r="L108" s="165">
        <v>-0.0054</v>
      </c>
      <c r="M108" s="84"/>
      <c r="N108" s="84"/>
      <c r="O108" s="84"/>
      <c r="P108" s="84"/>
      <c r="Q108" s="84"/>
      <c r="R108" s="17"/>
      <c r="S108" s="84"/>
      <c r="T108" s="184"/>
      <c r="AG108" s="17"/>
      <c r="AH108" s="84"/>
      <c r="AI108" s="184"/>
      <c r="AV108" s="17"/>
      <c r="AW108" s="84"/>
      <c r="AX108" s="184"/>
      <c r="BK108" s="17"/>
      <c r="BL108" s="84"/>
      <c r="BM108" s="184"/>
    </row>
    <row r="109" spans="2:65" ht="13.5" thickBot="1">
      <c r="B109" s="166">
        <v>200</v>
      </c>
      <c r="C109" s="167" t="s">
        <v>185</v>
      </c>
      <c r="D109" s="168"/>
      <c r="E109" s="169"/>
      <c r="F109" s="170" t="s">
        <v>211</v>
      </c>
      <c r="G109" s="171"/>
      <c r="H109" s="172">
        <v>2.1</v>
      </c>
      <c r="I109" s="173">
        <v>326.858</v>
      </c>
      <c r="J109" s="174">
        <v>-0.2008</v>
      </c>
      <c r="K109" s="173">
        <v>89.173</v>
      </c>
      <c r="L109" s="175">
        <v>0.0047</v>
      </c>
      <c r="M109" s="84"/>
      <c r="N109" s="84"/>
      <c r="O109" s="84"/>
      <c r="P109" s="84"/>
      <c r="Q109" s="84"/>
      <c r="R109" s="17"/>
      <c r="S109" s="84"/>
      <c r="T109" s="184"/>
      <c r="AG109" s="17"/>
      <c r="AH109" s="84"/>
      <c r="AI109" s="184"/>
      <c r="AV109" s="17"/>
      <c r="AW109" s="84"/>
      <c r="AX109" s="184"/>
      <c r="BK109" s="17"/>
      <c r="BL109" s="84"/>
      <c r="BM109" s="184"/>
    </row>
    <row r="110" spans="2:65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17"/>
      <c r="S110" s="84"/>
      <c r="T110" s="184"/>
      <c r="AG110" s="17"/>
      <c r="AH110" s="84"/>
      <c r="AI110" s="184"/>
      <c r="AV110" s="17"/>
      <c r="AW110" s="84"/>
      <c r="AX110" s="184"/>
      <c r="BK110" s="17"/>
      <c r="BL110" s="84"/>
      <c r="BM110" s="184"/>
    </row>
    <row r="111" spans="18:65" ht="12.75">
      <c r="R111" s="17"/>
      <c r="S111" s="84"/>
      <c r="T111" s="184"/>
      <c r="AG111" s="17"/>
      <c r="AH111" s="84"/>
      <c r="AI111" s="184"/>
      <c r="AV111" s="17"/>
      <c r="AW111" s="84"/>
      <c r="AX111" s="184"/>
      <c r="BK111" s="17"/>
      <c r="BL111" s="84"/>
      <c r="BM111" s="184"/>
    </row>
    <row r="112" spans="2:65" ht="13.5" thickBot="1">
      <c r="B112" t="s">
        <v>9</v>
      </c>
      <c r="R112" s="17"/>
      <c r="S112" s="84"/>
      <c r="T112" s="184"/>
      <c r="AG112" s="17"/>
      <c r="AH112" s="84"/>
      <c r="AI112" s="184"/>
      <c r="AV112" s="17"/>
      <c r="AW112" s="84"/>
      <c r="AX112" s="184"/>
      <c r="BK112" s="17"/>
      <c r="BL112" s="84"/>
      <c r="BM112" s="184"/>
    </row>
    <row r="113" spans="2:65" ht="13.5" thickBot="1">
      <c r="B113" s="7">
        <v>1981</v>
      </c>
      <c r="C113" s="8">
        <f>B113+1</f>
        <v>1982</v>
      </c>
      <c r="D113" s="8">
        <v>1988</v>
      </c>
      <c r="E113" s="8">
        <f aca="true" t="shared" si="0" ref="E113:P113">D113+1</f>
        <v>1989</v>
      </c>
      <c r="F113" s="8">
        <f t="shared" si="0"/>
        <v>1990</v>
      </c>
      <c r="G113" s="8">
        <f t="shared" si="0"/>
        <v>1991</v>
      </c>
      <c r="H113" s="8">
        <f>G113+1</f>
        <v>1992</v>
      </c>
      <c r="I113" s="8">
        <f t="shared" si="0"/>
        <v>1993</v>
      </c>
      <c r="J113" s="8">
        <f t="shared" si="0"/>
        <v>1994</v>
      </c>
      <c r="K113" s="8">
        <f t="shared" si="0"/>
        <v>1995</v>
      </c>
      <c r="L113" s="8">
        <f>K113+1</f>
        <v>1996</v>
      </c>
      <c r="M113" s="8">
        <f t="shared" si="0"/>
        <v>1997</v>
      </c>
      <c r="N113" s="8">
        <f t="shared" si="0"/>
        <v>1998</v>
      </c>
      <c r="O113" s="8">
        <f t="shared" si="0"/>
        <v>1999</v>
      </c>
      <c r="P113" s="9">
        <f t="shared" si="0"/>
        <v>2000</v>
      </c>
      <c r="R113" s="17"/>
      <c r="S113" s="84"/>
      <c r="T113" s="184"/>
      <c r="AG113" s="17"/>
      <c r="AH113" s="84"/>
      <c r="AI113" s="184"/>
      <c r="AV113" s="17"/>
      <c r="AW113" s="84"/>
      <c r="AX113" s="184"/>
      <c r="BK113" s="17"/>
      <c r="BL113" s="84"/>
      <c r="BM113" s="184"/>
    </row>
    <row r="114" spans="2:65" ht="12.75">
      <c r="B114" s="1">
        <v>0</v>
      </c>
      <c r="C114" s="2">
        <v>-0.242</v>
      </c>
      <c r="D114" s="2">
        <v>-0.696</v>
      </c>
      <c r="E114" s="2">
        <v>0.062</v>
      </c>
      <c r="F114" s="2">
        <v>-0.18</v>
      </c>
      <c r="G114" s="2">
        <v>-0.422</v>
      </c>
      <c r="H114" s="2">
        <v>-0.664</v>
      </c>
      <c r="I114" s="2">
        <v>0.093</v>
      </c>
      <c r="J114" s="2">
        <v>-0.149</v>
      </c>
      <c r="K114" s="2">
        <v>-0.391</v>
      </c>
      <c r="L114" s="2">
        <v>-0.633</v>
      </c>
      <c r="M114" s="2">
        <v>0.125</v>
      </c>
      <c r="N114" s="2">
        <v>-0.118</v>
      </c>
      <c r="O114" s="2">
        <v>-0.36</v>
      </c>
      <c r="P114" s="3">
        <v>-0.602</v>
      </c>
      <c r="R114" s="17"/>
      <c r="S114" s="84"/>
      <c r="T114" s="184"/>
      <c r="AG114" s="17"/>
      <c r="AH114" s="84"/>
      <c r="AI114" s="184"/>
      <c r="AV114" s="17"/>
      <c r="AW114" s="84"/>
      <c r="AX114" s="184"/>
      <c r="BK114" s="17"/>
      <c r="BL114" s="84"/>
      <c r="BM114" s="184"/>
    </row>
    <row r="115" spans="2:65" ht="13.5" thickBot="1">
      <c r="B115" s="4"/>
      <c r="C115" s="5"/>
      <c r="D115" s="5">
        <v>0.304</v>
      </c>
      <c r="E115" s="5"/>
      <c r="F115" s="5"/>
      <c r="G115" s="5"/>
      <c r="H115" s="5">
        <v>0.336</v>
      </c>
      <c r="I115" s="5"/>
      <c r="J115" s="5"/>
      <c r="K115" s="5"/>
      <c r="L115" s="5">
        <v>0.367</v>
      </c>
      <c r="M115" s="5"/>
      <c r="N115" s="5"/>
      <c r="O115" s="5"/>
      <c r="P115" s="6">
        <v>0.398</v>
      </c>
      <c r="R115" s="17"/>
      <c r="S115" s="84"/>
      <c r="T115" s="184"/>
      <c r="AG115" s="17"/>
      <c r="AH115" s="84"/>
      <c r="AI115" s="184"/>
      <c r="AV115" s="17"/>
      <c r="AW115" s="84"/>
      <c r="AX115" s="184"/>
      <c r="BK115" s="17"/>
      <c r="BL115" s="84"/>
      <c r="BM115" s="184"/>
    </row>
    <row r="116" spans="18:65" ht="12.75">
      <c r="R116" s="17"/>
      <c r="S116" s="84"/>
      <c r="T116" s="184"/>
      <c r="AG116" s="17"/>
      <c r="AH116" s="84"/>
      <c r="AI116" s="184"/>
      <c r="AV116" s="17"/>
      <c r="AW116" s="84"/>
      <c r="AX116" s="184"/>
      <c r="BK116" s="17"/>
      <c r="BL116" s="84"/>
      <c r="BM116" s="184"/>
    </row>
    <row r="117" spans="2:15" ht="13.5" thickBot="1">
      <c r="B117" t="s">
        <v>8</v>
      </c>
      <c r="O117" t="s">
        <v>341</v>
      </c>
    </row>
    <row r="118" spans="2:111" ht="13.5" thickBot="1">
      <c r="B118" s="10">
        <v>1</v>
      </c>
      <c r="C118" s="8">
        <v>2</v>
      </c>
      <c r="D118" s="8">
        <f>C118+1</f>
        <v>3</v>
      </c>
      <c r="E118" s="8">
        <f aca="true" t="shared" si="1" ref="E118:J118">D118+1</f>
        <v>4</v>
      </c>
      <c r="F118" s="8">
        <f t="shared" si="1"/>
        <v>5</v>
      </c>
      <c r="G118" s="8">
        <f t="shared" si="1"/>
        <v>6</v>
      </c>
      <c r="H118" s="8">
        <f>G118+1</f>
        <v>7</v>
      </c>
      <c r="I118" s="8">
        <f t="shared" si="1"/>
        <v>8</v>
      </c>
      <c r="J118" s="8">
        <f t="shared" si="1"/>
        <v>9</v>
      </c>
      <c r="K118" s="8">
        <f>J118+1</f>
        <v>10</v>
      </c>
      <c r="L118" s="8">
        <f>K118+1</f>
        <v>11</v>
      </c>
      <c r="M118" s="9">
        <f>L118+1</f>
        <v>12</v>
      </c>
      <c r="O118" s="384" t="s">
        <v>342</v>
      </c>
      <c r="P118" s="381">
        <v>0</v>
      </c>
      <c r="Q118" s="382">
        <v>0.167</v>
      </c>
      <c r="R118" s="382">
        <v>0.333</v>
      </c>
      <c r="S118" s="382">
        <v>0.5</v>
      </c>
      <c r="T118" s="382">
        <v>0.667</v>
      </c>
      <c r="U118" s="382">
        <v>0.833</v>
      </c>
      <c r="V118" s="382">
        <v>1</v>
      </c>
      <c r="W118" s="382">
        <v>1.167</v>
      </c>
      <c r="X118" s="382">
        <v>1.333</v>
      </c>
      <c r="Y118" s="382">
        <v>1.5</v>
      </c>
      <c r="Z118" s="382">
        <v>1.667</v>
      </c>
      <c r="AA118" s="382">
        <v>1.833</v>
      </c>
      <c r="AB118" s="382">
        <v>2</v>
      </c>
      <c r="AC118" s="382">
        <v>2.167</v>
      </c>
      <c r="AD118" s="382">
        <v>2.333</v>
      </c>
      <c r="AE118" s="382">
        <v>2.5</v>
      </c>
      <c r="AF118" s="382">
        <v>2.667</v>
      </c>
      <c r="AG118" s="382">
        <v>2.833</v>
      </c>
      <c r="AH118" s="382">
        <v>3</v>
      </c>
      <c r="AI118" s="382">
        <v>3.167</v>
      </c>
      <c r="AJ118" s="382">
        <v>3.333</v>
      </c>
      <c r="AK118" s="382">
        <v>3.5</v>
      </c>
      <c r="AL118" s="382">
        <v>3.667</v>
      </c>
      <c r="AM118" s="382">
        <v>3.833</v>
      </c>
      <c r="AN118" s="382">
        <v>4</v>
      </c>
      <c r="AO118" s="382">
        <v>4.167</v>
      </c>
      <c r="AP118" s="382">
        <v>4.333</v>
      </c>
      <c r="AQ118" s="382">
        <v>4.5</v>
      </c>
      <c r="AR118" s="382">
        <v>4.667</v>
      </c>
      <c r="AS118" s="382">
        <v>4.833</v>
      </c>
      <c r="AT118" s="382">
        <v>5</v>
      </c>
      <c r="AU118" s="382">
        <v>5.167</v>
      </c>
      <c r="AV118" s="382">
        <v>5.333</v>
      </c>
      <c r="AW118" s="382">
        <v>5.5</v>
      </c>
      <c r="AX118" s="382">
        <v>5.667</v>
      </c>
      <c r="AY118" s="382">
        <v>5.833</v>
      </c>
      <c r="AZ118" s="382">
        <v>6</v>
      </c>
      <c r="BA118" s="382">
        <v>6.167</v>
      </c>
      <c r="BB118" s="382">
        <v>6.333</v>
      </c>
      <c r="BC118" s="382">
        <v>6.5</v>
      </c>
      <c r="BD118" s="382">
        <v>6.667</v>
      </c>
      <c r="BE118" s="382">
        <v>6.833</v>
      </c>
      <c r="BF118" s="382">
        <v>7</v>
      </c>
      <c r="BG118" s="382">
        <v>7.333</v>
      </c>
      <c r="BH118" s="382">
        <v>7.667</v>
      </c>
      <c r="BI118" s="382">
        <v>8</v>
      </c>
      <c r="BJ118" s="382">
        <v>8.333</v>
      </c>
      <c r="BK118" s="382">
        <v>8.667</v>
      </c>
      <c r="BL118" s="382">
        <v>9</v>
      </c>
      <c r="BM118" s="382">
        <v>9.333</v>
      </c>
      <c r="BN118" s="382">
        <v>9.667</v>
      </c>
      <c r="BO118" s="382">
        <v>10</v>
      </c>
      <c r="BP118" s="382">
        <v>10.333</v>
      </c>
      <c r="BQ118" s="382">
        <v>10.667</v>
      </c>
      <c r="BR118" s="382">
        <v>11</v>
      </c>
      <c r="BS118" s="382">
        <v>11.3</v>
      </c>
      <c r="BT118" s="382">
        <v>12</v>
      </c>
      <c r="BU118" s="382">
        <v>12.5</v>
      </c>
      <c r="BV118" s="382">
        <v>13</v>
      </c>
      <c r="BW118" s="382">
        <v>13.5</v>
      </c>
      <c r="BX118" s="382">
        <v>14</v>
      </c>
      <c r="BY118" s="382">
        <v>14.5</v>
      </c>
      <c r="BZ118" s="382">
        <v>15</v>
      </c>
      <c r="CA118" s="382">
        <v>15.5</v>
      </c>
      <c r="CB118" s="382">
        <v>16</v>
      </c>
      <c r="CC118" s="382">
        <v>16.5</v>
      </c>
      <c r="CD118" s="382">
        <v>17</v>
      </c>
      <c r="CE118" s="382">
        <v>17.5</v>
      </c>
      <c r="CF118" s="382">
        <v>18</v>
      </c>
      <c r="CG118" s="382">
        <v>18.5</v>
      </c>
      <c r="CH118" s="382">
        <v>19</v>
      </c>
      <c r="CI118" s="382">
        <v>19.5</v>
      </c>
      <c r="CJ118" s="382">
        <v>20</v>
      </c>
      <c r="CK118" s="382">
        <v>21</v>
      </c>
      <c r="CL118" s="382">
        <v>22</v>
      </c>
      <c r="CM118" s="382">
        <v>23</v>
      </c>
      <c r="CN118" s="382">
        <v>24</v>
      </c>
      <c r="CO118" s="382">
        <v>25</v>
      </c>
      <c r="CP118" s="382">
        <v>26</v>
      </c>
      <c r="CQ118" s="382">
        <v>27</v>
      </c>
      <c r="CR118" s="382">
        <v>28</v>
      </c>
      <c r="CS118" s="382">
        <v>29</v>
      </c>
      <c r="CT118" s="382">
        <v>30</v>
      </c>
      <c r="CU118" s="382">
        <v>32</v>
      </c>
      <c r="CV118" s="382">
        <v>34</v>
      </c>
      <c r="CW118" s="382">
        <v>36</v>
      </c>
      <c r="CX118" s="382">
        <v>38</v>
      </c>
      <c r="CY118" s="382">
        <v>40</v>
      </c>
      <c r="CZ118" s="382">
        <v>45</v>
      </c>
      <c r="DA118" s="382">
        <v>50</v>
      </c>
      <c r="DB118" s="382">
        <v>55</v>
      </c>
      <c r="DC118" s="382">
        <v>60</v>
      </c>
      <c r="DD118" s="382">
        <v>65</v>
      </c>
      <c r="DE118" s="382">
        <v>70</v>
      </c>
      <c r="DF118" s="382">
        <v>80</v>
      </c>
      <c r="DG118" s="383">
        <v>90</v>
      </c>
    </row>
    <row r="119" spans="2:111" ht="15" thickBot="1">
      <c r="B119" s="11">
        <v>100.557</v>
      </c>
      <c r="C119" s="12">
        <v>131.112</v>
      </c>
      <c r="D119" s="12">
        <v>158.71</v>
      </c>
      <c r="E119" s="12">
        <v>189.265</v>
      </c>
      <c r="F119" s="12">
        <v>218.835</v>
      </c>
      <c r="G119" s="12">
        <v>249.39</v>
      </c>
      <c r="H119" s="12">
        <v>278.958</v>
      </c>
      <c r="I119" s="12">
        <v>309.515</v>
      </c>
      <c r="J119" s="12">
        <v>340.068</v>
      </c>
      <c r="K119" s="12">
        <v>9.638</v>
      </c>
      <c r="L119" s="12">
        <v>40.193</v>
      </c>
      <c r="M119" s="13">
        <v>69.762</v>
      </c>
      <c r="O119" s="385" t="s">
        <v>343</v>
      </c>
      <c r="P119" s="378">
        <v>-33</v>
      </c>
      <c r="Q119" s="379">
        <v>-31.37</v>
      </c>
      <c r="R119" s="379">
        <v>-29.83</v>
      </c>
      <c r="S119" s="379">
        <v>-28.38</v>
      </c>
      <c r="T119" s="379">
        <v>-27</v>
      </c>
      <c r="U119" s="379">
        <v>-25.7</v>
      </c>
      <c r="V119" s="379">
        <v>-24.48</v>
      </c>
      <c r="W119" s="379">
        <v>-23.33</v>
      </c>
      <c r="X119" s="379">
        <v>-22.25</v>
      </c>
      <c r="Y119" s="379">
        <v>-21.25</v>
      </c>
      <c r="Z119" s="379">
        <v>-20.3</v>
      </c>
      <c r="AA119" s="379">
        <v>-19.42</v>
      </c>
      <c r="AB119" s="379">
        <v>-18.58</v>
      </c>
      <c r="AC119" s="379">
        <v>-17.8</v>
      </c>
      <c r="AD119" s="379">
        <v>-17.07</v>
      </c>
      <c r="AE119" s="379">
        <v>-16.4</v>
      </c>
      <c r="AF119" s="379">
        <v>-15.75</v>
      </c>
      <c r="AG119" s="379">
        <v>-15.15</v>
      </c>
      <c r="AH119" s="379">
        <v>-14.6</v>
      </c>
      <c r="AI119" s="379">
        <v>-14.07</v>
      </c>
      <c r="AJ119" s="379">
        <v>-13.57</v>
      </c>
      <c r="AK119" s="379">
        <v>-13.1</v>
      </c>
      <c r="AL119" s="379">
        <v>-12.67</v>
      </c>
      <c r="AM119" s="379">
        <v>-13.25</v>
      </c>
      <c r="AN119" s="379">
        <v>-11.85</v>
      </c>
      <c r="AO119" s="379">
        <v>-11.48</v>
      </c>
      <c r="AP119" s="379">
        <v>-11.13</v>
      </c>
      <c r="AQ119" s="379">
        <v>-10.8</v>
      </c>
      <c r="AR119" s="379">
        <v>-10.48</v>
      </c>
      <c r="AS119" s="379">
        <v>-10.18</v>
      </c>
      <c r="AT119" s="379">
        <v>-9.9</v>
      </c>
      <c r="AU119" s="379">
        <v>-9.63</v>
      </c>
      <c r="AV119" s="379">
        <v>-9.39</v>
      </c>
      <c r="AW119" s="379">
        <v>-9.13</v>
      </c>
      <c r="AX119" s="379">
        <v>-8.9</v>
      </c>
      <c r="AY119" s="379">
        <v>-8.68</v>
      </c>
      <c r="AZ119" s="379">
        <v>-8.47</v>
      </c>
      <c r="BA119" s="379">
        <v>-8.25</v>
      </c>
      <c r="BB119" s="379">
        <v>-8.05</v>
      </c>
      <c r="BC119" s="379">
        <v>-7.85</v>
      </c>
      <c r="BD119" s="379">
        <v>-7.67</v>
      </c>
      <c r="BE119" s="379">
        <v>-7.5</v>
      </c>
      <c r="BF119" s="379">
        <v>-7.33</v>
      </c>
      <c r="BG119" s="379">
        <v>-7.03</v>
      </c>
      <c r="BH119" s="379">
        <v>-6.75</v>
      </c>
      <c r="BI119" s="379">
        <v>-6.48</v>
      </c>
      <c r="BJ119" s="379">
        <v>-6.25</v>
      </c>
      <c r="BK119" s="379">
        <v>-6.02</v>
      </c>
      <c r="BL119" s="379">
        <v>-5.8</v>
      </c>
      <c r="BM119" s="379">
        <v>-5.6</v>
      </c>
      <c r="BN119" s="379">
        <v>-5.42</v>
      </c>
      <c r="BO119" s="379">
        <v>-5.25</v>
      </c>
      <c r="BP119" s="379">
        <v>-5.08</v>
      </c>
      <c r="BQ119" s="379">
        <v>-4.93</v>
      </c>
      <c r="BR119" s="379">
        <v>-4.78</v>
      </c>
      <c r="BS119" s="379">
        <v>-4.57</v>
      </c>
      <c r="BT119" s="379">
        <v>-4.38</v>
      </c>
      <c r="BU119" s="379">
        <v>-4.22</v>
      </c>
      <c r="BV119" s="379">
        <v>-4.05</v>
      </c>
      <c r="BW119" s="379">
        <v>-3.9</v>
      </c>
      <c r="BX119" s="379">
        <v>-3.7</v>
      </c>
      <c r="BY119" s="379">
        <v>-3.63</v>
      </c>
      <c r="BZ119" s="379">
        <v>-3.5</v>
      </c>
      <c r="CA119" s="379">
        <v>-3.4</v>
      </c>
      <c r="CB119" s="379">
        <v>-3.28</v>
      </c>
      <c r="CC119" s="379">
        <v>-3.17</v>
      </c>
      <c r="CD119" s="379">
        <v>-3.07</v>
      </c>
      <c r="CE119" s="379">
        <v>-3</v>
      </c>
      <c r="CF119" s="379">
        <v>-2.9</v>
      </c>
      <c r="CG119" s="379">
        <v>-2.82</v>
      </c>
      <c r="CH119" s="379">
        <v>-2.73</v>
      </c>
      <c r="CI119" s="379">
        <v>-2.67</v>
      </c>
      <c r="CJ119" s="379">
        <v>-2.58</v>
      </c>
      <c r="CK119" s="379">
        <v>-2.45</v>
      </c>
      <c r="CL119" s="379">
        <v>-2.33</v>
      </c>
      <c r="CM119" s="379">
        <v>-2.23</v>
      </c>
      <c r="CN119" s="379">
        <v>-2.13</v>
      </c>
      <c r="CO119" s="379">
        <v>-2.03</v>
      </c>
      <c r="CP119" s="379">
        <v>-1.93</v>
      </c>
      <c r="CQ119" s="379">
        <v>-1.85</v>
      </c>
      <c r="CR119" s="379">
        <v>-1.78</v>
      </c>
      <c r="CS119" s="379">
        <v>-1.7</v>
      </c>
      <c r="CT119" s="379">
        <v>-1.63</v>
      </c>
      <c r="CU119" s="379">
        <v>-1.52</v>
      </c>
      <c r="CV119" s="379">
        <v>-1.4</v>
      </c>
      <c r="CW119" s="379">
        <v>-1.3</v>
      </c>
      <c r="CX119" s="379">
        <v>-1.22</v>
      </c>
      <c r="CY119" s="379">
        <v>-1.13</v>
      </c>
      <c r="CZ119" s="379">
        <v>-0.95</v>
      </c>
      <c r="DA119" s="379">
        <v>-0.8</v>
      </c>
      <c r="DB119" s="379">
        <v>-0.67</v>
      </c>
      <c r="DC119" s="379">
        <v>-0.55</v>
      </c>
      <c r="DD119" s="379">
        <v>-0.43</v>
      </c>
      <c r="DE119" s="379">
        <v>-0.33</v>
      </c>
      <c r="DF119" s="379">
        <v>-0.17</v>
      </c>
      <c r="DG119" s="380">
        <v>0</v>
      </c>
    </row>
    <row r="120" spans="18:65" ht="12.75">
      <c r="R120" s="17"/>
      <c r="S120" s="84"/>
      <c r="T120" s="184"/>
      <c r="AG120" s="17"/>
      <c r="AH120" s="84"/>
      <c r="AI120" s="184"/>
      <c r="AV120" s="17"/>
      <c r="AW120" s="84"/>
      <c r="AX120" s="184"/>
      <c r="BK120" s="17"/>
      <c r="BL120" s="84"/>
      <c r="BM120" s="184"/>
    </row>
    <row r="122" spans="1:96" ht="12.7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  <c r="CR122" s="183"/>
    </row>
    <row r="125" ht="12.75">
      <c r="B125" s="68" t="s">
        <v>86</v>
      </c>
    </row>
    <row r="127" spans="3:27" ht="12.75">
      <c r="C127" s="68" t="s">
        <v>89</v>
      </c>
      <c r="I127" s="68" t="s">
        <v>96</v>
      </c>
      <c r="O127" s="68" t="s">
        <v>97</v>
      </c>
      <c r="U127" s="68" t="s">
        <v>246</v>
      </c>
      <c r="AA127" s="68" t="s">
        <v>247</v>
      </c>
    </row>
    <row r="128" ht="12.75">
      <c r="AD128" s="141"/>
    </row>
    <row r="129" spans="3:30" ht="12.75">
      <c r="C129" t="s">
        <v>91</v>
      </c>
      <c r="D129" s="107">
        <f>IF(OR(D$50=0,D$50=90,D$50=180,D$50=270,D$50=360),D$50+0.1^1000000000,D$50)</f>
        <v>226.30965427320263</v>
      </c>
      <c r="I129" t="s">
        <v>91</v>
      </c>
      <c r="J129" s="107">
        <f>IF(OR($S$50=0,$S$50=90,$S$50=180,$S$50=270,$S$50=360),$S$50+0.1^1000000000,$S$50)</f>
        <v>359.20128357303895</v>
      </c>
      <c r="O129" t="s">
        <v>91</v>
      </c>
      <c r="P129" s="107">
        <f>IF(OR($AH$50=0,$AH$50=90,$AH$50=180,$AH$50=270,$AH$50=360),$AH$50+0.1^1000000000,$AH$50)</f>
        <v>79.45025872314828</v>
      </c>
      <c r="U129" t="s">
        <v>91</v>
      </c>
      <c r="V129" s="107" t="e">
        <f>IF(OR($AW$50=0,$AW$50=90,$AW$50=180,$AW$50=270,$AW$50=360),$AW$50+0.1^1000000000,$AW$50)</f>
        <v>#VALUE!</v>
      </c>
      <c r="AA129" t="s">
        <v>91</v>
      </c>
      <c r="AB129" s="107" t="e">
        <f>IF(OR($BL$50=0,$BL$50=90,$BL$50=180,$BL$50=270,$BL$50=360),$BL$50+0.1^1000000000,$BL$50)</f>
        <v>#VALUE!</v>
      </c>
      <c r="AD129" s="185"/>
    </row>
    <row r="130" spans="3:28" ht="12.75">
      <c r="C130" t="s">
        <v>92</v>
      </c>
      <c r="D130" s="59">
        <f>D$48*60/COS(RADIANS(SIGN(D$54)*D$54))</f>
        <v>-6.188085325568214</v>
      </c>
      <c r="I130" t="s">
        <v>92</v>
      </c>
      <c r="J130" s="59">
        <f>$S$48*60/COS(RADIANS(SIGN($S$54)*$S$54))</f>
        <v>2.9700424779185464</v>
      </c>
      <c r="O130" t="s">
        <v>92</v>
      </c>
      <c r="P130" s="59">
        <f>$AH$48*60/COS(RADIANS(SIGN($AH$54)*$AH$54))</f>
        <v>3.8362661245372816</v>
      </c>
      <c r="U130" t="s">
        <v>92</v>
      </c>
      <c r="V130" s="59" t="e">
        <f>$AW$48*60/COS(RADIANS(SIGN($AW$54)*$AW$54))</f>
        <v>#VALUE!</v>
      </c>
      <c r="AA130" t="s">
        <v>92</v>
      </c>
      <c r="AB130" s="59" t="e">
        <f>$BL$48*60/COS(RADIANS(SIGN($BL$54)*$BL$54))</f>
        <v>#VALUE!</v>
      </c>
    </row>
    <row r="131" spans="3:30" ht="12.75">
      <c r="C131" s="182" t="s">
        <v>240</v>
      </c>
      <c r="D131" s="16"/>
      <c r="E131" s="16"/>
      <c r="F131" s="56"/>
      <c r="I131" s="182" t="s">
        <v>240</v>
      </c>
      <c r="J131" s="16"/>
      <c r="K131" s="16"/>
      <c r="L131" s="56"/>
      <c r="O131" s="182" t="s">
        <v>240</v>
      </c>
      <c r="P131" s="16"/>
      <c r="Q131" s="16"/>
      <c r="R131" s="56"/>
      <c r="U131" s="182" t="s">
        <v>240</v>
      </c>
      <c r="V131" s="16"/>
      <c r="W131" s="16"/>
      <c r="X131" s="56"/>
      <c r="AA131" s="182" t="s">
        <v>240</v>
      </c>
      <c r="AB131" s="16"/>
      <c r="AC131" s="16"/>
      <c r="AD131" s="56"/>
    </row>
    <row r="132" spans="3:30" ht="12.75">
      <c r="C132" s="109" t="s">
        <v>87</v>
      </c>
      <c r="D132" s="113">
        <f>IF(AND(D$129&gt;0,D$129&lt;90),1/TAN(RADIANS(D$129)),IF(AND(D$129&gt;90,D$129&lt;180),-1/TAN(RADIANS(180-D$129)),IF(AND(D$129&gt;180,D$129&lt;270),1/TAN(RADIANS(D$129-180)),-1/TAN(RADIANS(360-D$129)))))</f>
        <v>0.955298434777258</v>
      </c>
      <c r="E132" s="57"/>
      <c r="F132" s="58"/>
      <c r="I132" s="109" t="s">
        <v>87</v>
      </c>
      <c r="J132" s="113">
        <f>IF(AND(J$129&gt;0,J$129&lt;90),1/TAN(RADIANS(J$129)),IF(AND(J$129&gt;90,J$129&lt;180),-1/TAN(RADIANS(180-J$129)),IF(AND(J$129&gt;180,J$129&lt;270),1/TAN(RADIANS(J$129-180)),-1/TAN(RADIANS(360-J$129)))))</f>
        <v>-71.73017368926209</v>
      </c>
      <c r="K132" s="57"/>
      <c r="L132" s="58"/>
      <c r="O132" s="109" t="s">
        <v>87</v>
      </c>
      <c r="P132" s="113">
        <f>IF(AND(P$129&gt;0,P$129&lt;90),1/TAN(RADIANS(P$129)),IF(AND(P$129&gt;90,P$129&lt;180),-1/TAN(RADIANS(180-P$129)),IF(AND(P$129&gt;180,P$129&lt;270),1/TAN(RADIANS(P$129-180)),-1/TAN(RADIANS(360-P$129)))))</f>
        <v>0.18623716012840902</v>
      </c>
      <c r="Q132" s="57"/>
      <c r="R132" s="58"/>
      <c r="U132" s="109" t="s">
        <v>87</v>
      </c>
      <c r="V132" s="113" t="e">
        <f>IF(AND(V$129&gt;0,V$129&lt;90),1/TAN(RADIANS(V$129)),IF(AND(V$129&gt;90,V$129&lt;180),-1/TAN(RADIANS(180-V$129)),IF(AND(V$129&gt;180,V$129&lt;270),1/TAN(RADIANS(V$129-180)),-1/TAN(RADIANS(360-V$129)))))</f>
        <v>#VALUE!</v>
      </c>
      <c r="W132" s="57"/>
      <c r="X132" s="58"/>
      <c r="AA132" s="109" t="s">
        <v>87</v>
      </c>
      <c r="AB132" s="113" t="e">
        <f>IF(AND(AB$129&gt;0,AB$129&lt;90),1/TAN(RADIANS(AB$129)),IF(AND(AB$129&gt;90,AB$129&lt;180),-1/TAN(RADIANS(180-AB$129)),IF(AND(AB$129&gt;180,AB$129&lt;270),1/TAN(RADIANS(AB$129-180)),-1/TAN(RADIANS(360-AB$129)))))</f>
        <v>#VALUE!</v>
      </c>
      <c r="AC132" s="57"/>
      <c r="AD132" s="58"/>
    </row>
    <row r="133" spans="3:28" ht="12.75">
      <c r="C133" s="105"/>
      <c r="D133" s="106"/>
      <c r="I133" s="105"/>
      <c r="J133" s="106"/>
      <c r="O133" s="105"/>
      <c r="P133" s="106"/>
      <c r="U133" s="105"/>
      <c r="V133" s="106"/>
      <c r="AA133" s="105"/>
      <c r="AB133" s="106"/>
    </row>
    <row r="134" spans="3:28" ht="12.75">
      <c r="C134" t="s">
        <v>245</v>
      </c>
      <c r="D134" s="106"/>
      <c r="I134" t="s">
        <v>245</v>
      </c>
      <c r="J134" s="106"/>
      <c r="O134" t="s">
        <v>245</v>
      </c>
      <c r="P134" s="106"/>
      <c r="U134" t="s">
        <v>245</v>
      </c>
      <c r="V134" s="106"/>
      <c r="AA134" t="s">
        <v>245</v>
      </c>
      <c r="AB134" s="106"/>
    </row>
    <row r="135" spans="3:28" ht="12.75">
      <c r="C135" s="105" t="s">
        <v>87</v>
      </c>
      <c r="D135" s="112">
        <f>IF(AND(D$129&gt;0,D$129&lt;90),TAN(RADIANS(180-D$129)),IF(AND(D$129&gt;90,D$129&lt;180),TAN(RADIANS(180-D$129)),IF(AND(D$129&gt;180,D$129&lt;270),TAN(RADIANS(360-D$129)),TAN(RADIANS(360-D$129)))))</f>
        <v>-1.0467932989267015</v>
      </c>
      <c r="I135" s="105" t="s">
        <v>87</v>
      </c>
      <c r="J135" s="112">
        <f>IF(AND(J$129&gt;0,J$129&lt;90),TAN(RADIANS(180-J$129)),IF(AND(J$129&gt;90,J$129&lt;180),TAN(RADIANS(180-J$129)),IF(AND(J$129&gt;180,J$129&lt;270),TAN(RADIANS(360-J$129)),TAN(RADIANS(360-J$129)))))</f>
        <v>0.013941134512402536</v>
      </c>
      <c r="O135" s="105" t="s">
        <v>87</v>
      </c>
      <c r="P135" s="112">
        <f>IF(AND(P$129&gt;0,P$129&lt;90),TAN(RADIANS(180-P$129)),IF(AND(P$129&gt;90,P$129&lt;180),TAN(RADIANS(180-P$129)),IF(AND(P$129&gt;180,P$129&lt;270),TAN(RADIANS(360-P$129)),TAN(RADIANS(360-P$129)))))</f>
        <v>-5.369497684084678</v>
      </c>
      <c r="U135" s="105" t="s">
        <v>87</v>
      </c>
      <c r="V135" s="112" t="e">
        <f>IF(AND(V$129&gt;0,V$129&lt;90),TAN(RADIANS(180-V$129)),IF(AND(V$129&gt;90,V$129&lt;180),TAN(RADIANS(180-V$129)),IF(AND(V$129&gt;180,V$129&lt;270),TAN(RADIANS(360-V$129)),TAN(RADIANS(360-V$129)))))</f>
        <v>#VALUE!</v>
      </c>
      <c r="AA135" s="105" t="s">
        <v>87</v>
      </c>
      <c r="AB135" s="112" t="e">
        <f>IF(AND(AB$129&gt;0,AB$129&lt;90),TAN(RADIANS(180-AB$129)),IF(AND(AB$129&gt;90,AB$129&lt;180),TAN(RADIANS(180-AB$129)),IF(AND(AB$129&gt;180,AB$129&lt;270),TAN(RADIANS(360-AB$129)),TAN(RADIANS(360-AB$129)))))</f>
        <v>#VALUE!</v>
      </c>
    </row>
    <row r="136" spans="3:28" ht="12.75">
      <c r="C136" s="106" t="s">
        <v>93</v>
      </c>
      <c r="D136" s="110">
        <f>IF(AND(D$129&gt;0,D$129&lt;90),D$130/COS(RADIANS(D$129)),IF(AND(D$129&gt;90,D$129&lt;180),-D$130/COS(RADIANS(180-D$129)),IF(AND(D$129&gt;180,D$129&lt;270),-D$130/COS(RADIANS(D$129-180)),D$130/COS(RADIANS(360-D$129)))))</f>
        <v>8.958364859864309</v>
      </c>
      <c r="I136" s="106" t="s">
        <v>93</v>
      </c>
      <c r="J136" s="110">
        <f>IF(AND(J$129&gt;0,J$129&lt;90),J$130/COS(RADIANS(J$129)),IF(AND(J$129&gt;90,J$129&lt;180),-J$130/COS(RADIANS(180-J$129)),IF(AND(J$129&gt;180,J$129&lt;270),-J$130/COS(RADIANS(J$129-180)),J$130/COS(RADIANS(360-J$129)))))</f>
        <v>2.970331085542797</v>
      </c>
      <c r="O136" s="106" t="s">
        <v>93</v>
      </c>
      <c r="P136" s="110">
        <f>IF(AND(P$129&gt;0,P$129&lt;90),P$130/COS(RADIANS(P$129)),IF(AND(P$129&gt;90,P$129&lt;180),-P$130/COS(RADIANS(180-P$129)),IF(AND(P$129&gt;180,P$129&lt;270),-P$130/COS(RADIANS(P$129-180)),P$130/COS(RADIANS(360-P$129)))))</f>
        <v>20.953004760670694</v>
      </c>
      <c r="U136" s="106" t="s">
        <v>93</v>
      </c>
      <c r="V136" s="110" t="e">
        <f>IF(AND(V$129&gt;0,V$129&lt;90),V$130/COS(RADIANS(V$129)),IF(AND(V$129&gt;90,V$129&lt;180),-V$130/COS(RADIANS(180-V$129)),IF(AND(V$129&gt;180,V$129&lt;270),-V$130/COS(RADIANS(V$129-180)),V$130/COS(RADIANS(360-V$129)))))</f>
        <v>#VALUE!</v>
      </c>
      <c r="AA136" s="106" t="s">
        <v>93</v>
      </c>
      <c r="AB136" s="110" t="e">
        <f>IF(AND(AB$129&gt;0,AB$129&lt;90),AB$130/COS(RADIANS(AB$129)),IF(AND(AB$129&gt;90,AB$129&lt;180),-AB$130/COS(RADIANS(180-AB$129)),IF(AND(AB$129&gt;180,AB$129&lt;270),-AB$130/COS(RADIANS(AB$129-180)),AB$130/COS(RADIANS(360-AB$129)))))</f>
        <v>#VALUE!</v>
      </c>
    </row>
    <row r="137" ht="12.75">
      <c r="E137" s="14"/>
    </row>
    <row r="138" spans="3:16" ht="12.75">
      <c r="C138" s="103"/>
      <c r="D138" s="103"/>
      <c r="E138" s="114"/>
      <c r="F138" s="114"/>
      <c r="G138" s="114"/>
      <c r="H138" s="114"/>
      <c r="I138" s="103"/>
      <c r="J138" s="103"/>
      <c r="O138" s="103"/>
      <c r="P138" s="103"/>
    </row>
    <row r="139" spans="3:16" ht="12.75">
      <c r="C139" s="114"/>
      <c r="D139" s="114"/>
      <c r="E139" s="114"/>
      <c r="F139" s="114"/>
      <c r="G139" s="114"/>
      <c r="H139" s="114"/>
      <c r="I139" s="104"/>
      <c r="J139" s="103"/>
      <c r="O139" s="104"/>
      <c r="P139" s="103"/>
    </row>
    <row r="140" spans="2:30" ht="12.75">
      <c r="B140" s="93" t="s">
        <v>52</v>
      </c>
      <c r="C140" s="91" t="s">
        <v>94</v>
      </c>
      <c r="D140" s="92" t="s">
        <v>95</v>
      </c>
      <c r="E140" s="106" t="s">
        <v>249</v>
      </c>
      <c r="F140" s="59">
        <f>D130</f>
        <v>-6.188085325568214</v>
      </c>
      <c r="I140" s="91" t="s">
        <v>94</v>
      </c>
      <c r="J140" s="92" t="s">
        <v>95</v>
      </c>
      <c r="K140" s="106" t="s">
        <v>250</v>
      </c>
      <c r="L140" s="59">
        <f>J130</f>
        <v>2.9700424779185464</v>
      </c>
      <c r="O140" s="91" t="s">
        <v>94</v>
      </c>
      <c r="P140" s="92" t="s">
        <v>95</v>
      </c>
      <c r="Q140" s="59" t="str">
        <f>IF(AH25=0,"  ","   n3=")</f>
        <v>   n3=</v>
      </c>
      <c r="R140" s="59">
        <f>IF(AH25=0,"  ",P130)</f>
        <v>3.8362661245372816</v>
      </c>
      <c r="U140" s="91" t="s">
        <v>94</v>
      </c>
      <c r="V140" s="92" t="s">
        <v>95</v>
      </c>
      <c r="W140" s="59" t="str">
        <f>IF(AW25=0,"  ","   n4=")</f>
        <v>  </v>
      </c>
      <c r="X140" s="59" t="str">
        <f>IF(AW25=0,"  ",V130)</f>
        <v>  </v>
      </c>
      <c r="AA140" s="91" t="s">
        <v>94</v>
      </c>
      <c r="AB140" s="92" t="s">
        <v>95</v>
      </c>
      <c r="AC140" s="59" t="str">
        <f>IF(BL25=0,"  ","   n5=")</f>
        <v>  </v>
      </c>
      <c r="AD140" s="59" t="str">
        <f>IF(BL25=0,"  ",AB130)</f>
        <v>  </v>
      </c>
    </row>
    <row r="141" spans="2:30" ht="12.75">
      <c r="B141" s="77">
        <v>-10</v>
      </c>
      <c r="C141" s="87">
        <f>D$132*$B141</f>
        <v>-9.552984347772579</v>
      </c>
      <c r="D141" s="88">
        <f>D$135*$B141+D$136</f>
        <v>19.426297849131323</v>
      </c>
      <c r="E141" s="106" t="s">
        <v>248</v>
      </c>
      <c r="F141" s="186">
        <f>D129</f>
        <v>226.30965427320263</v>
      </c>
      <c r="I141" s="87">
        <f>J$132*$B141</f>
        <v>717.3017368926209</v>
      </c>
      <c r="J141" s="88">
        <f>J$135*$B141+J$136</f>
        <v>2.830919740418772</v>
      </c>
      <c r="K141" s="106" t="s">
        <v>251</v>
      </c>
      <c r="L141" s="186">
        <f>J129</f>
        <v>359.20128357303895</v>
      </c>
      <c r="O141" s="87">
        <f aca="true" t="shared" si="2" ref="O141:O161">IF($AH$25=0,100,P$132*$B141)</f>
        <v>-1.86237160128409</v>
      </c>
      <c r="P141" s="88">
        <f aca="true" t="shared" si="3" ref="P141:P161">IF($AH$25=0,100,P$135*$B141+P$136)</f>
        <v>74.64798160151747</v>
      </c>
      <c r="Q141" s="59" t="str">
        <f>IF(AH25=0,"  ","   A3=")</f>
        <v>   A3=</v>
      </c>
      <c r="R141" s="186">
        <f>IF(AH25=0,"  ",P129)</f>
        <v>79.45025872314828</v>
      </c>
      <c r="U141" s="87">
        <f aca="true" t="shared" si="4" ref="U141:U161">IF($AW$25=0,100,V$132*$B141)</f>
        <v>100</v>
      </c>
      <c r="V141" s="88">
        <f aca="true" t="shared" si="5" ref="V141:V161">IF($AW$25=0,100,V$135*$B141+V$136)</f>
        <v>100</v>
      </c>
      <c r="W141" s="59" t="str">
        <f>IF(AW25=0,"  ","   A4=")</f>
        <v>  </v>
      </c>
      <c r="X141" s="186" t="str">
        <f>IF(AW25=0,"  ",V129)</f>
        <v>  </v>
      </c>
      <c r="AA141" s="87">
        <f aca="true" t="shared" si="6" ref="AA141:AA161">IF($BL$25=0,100,AB$132*$B141)</f>
        <v>100</v>
      </c>
      <c r="AB141" s="88">
        <f aca="true" t="shared" si="7" ref="AB141:AB161">IF($BL$25=0,100,AB$135*$B141+AB$136)</f>
        <v>100</v>
      </c>
      <c r="AC141" s="59" t="str">
        <f>IF(BL25=0,"  ","   A5=")</f>
        <v>  </v>
      </c>
      <c r="AD141" s="186" t="str">
        <f>IF(BL25=0,"  ",AB129)</f>
        <v>  </v>
      </c>
    </row>
    <row r="142" spans="2:28" ht="12.75">
      <c r="B142" s="77">
        <f>B141+1</f>
        <v>-9</v>
      </c>
      <c r="C142" s="87">
        <f aca="true" t="shared" si="8" ref="C142:C161">D$132*$B142</f>
        <v>-8.597685912995322</v>
      </c>
      <c r="D142" s="88">
        <f aca="true" t="shared" si="9" ref="D142:D161">D$135*$B142+D$136</f>
        <v>18.379504550204622</v>
      </c>
      <c r="I142" s="87">
        <f aca="true" t="shared" si="10" ref="I142:I161">J$132*$B142</f>
        <v>645.5715632033588</v>
      </c>
      <c r="J142" s="88">
        <f aca="true" t="shared" si="11" ref="J142:J161">J$135*$B142+J$136</f>
        <v>2.8448608749311743</v>
      </c>
      <c r="O142" s="87">
        <f t="shared" si="2"/>
        <v>-1.676134441155681</v>
      </c>
      <c r="P142" s="88">
        <f t="shared" si="3"/>
        <v>69.2784839174328</v>
      </c>
      <c r="U142" s="87">
        <f t="shared" si="4"/>
        <v>100</v>
      </c>
      <c r="V142" s="88">
        <f t="shared" si="5"/>
        <v>100</v>
      </c>
      <c r="AA142" s="87">
        <f t="shared" si="6"/>
        <v>100</v>
      </c>
      <c r="AB142" s="88">
        <f t="shared" si="7"/>
        <v>100</v>
      </c>
    </row>
    <row r="143" spans="2:28" ht="12.75">
      <c r="B143" s="77">
        <f aca="true" t="shared" si="12" ref="B143:B161">B142+1</f>
        <v>-8</v>
      </c>
      <c r="C143" s="87">
        <f t="shared" si="8"/>
        <v>-7.642387478218064</v>
      </c>
      <c r="D143" s="88">
        <f t="shared" si="9"/>
        <v>17.33271125127792</v>
      </c>
      <c r="I143" s="87">
        <f t="shared" si="10"/>
        <v>573.8413895140967</v>
      </c>
      <c r="J143" s="88">
        <f t="shared" si="11"/>
        <v>2.858802009443577</v>
      </c>
      <c r="O143" s="87">
        <f t="shared" si="2"/>
        <v>-1.4898972810272721</v>
      </c>
      <c r="P143" s="88">
        <f t="shared" si="3"/>
        <v>63.90898623334812</v>
      </c>
      <c r="U143" s="87">
        <f t="shared" si="4"/>
        <v>100</v>
      </c>
      <c r="V143" s="88">
        <f t="shared" si="5"/>
        <v>100</v>
      </c>
      <c r="AA143" s="87">
        <f t="shared" si="6"/>
        <v>100</v>
      </c>
      <c r="AB143" s="88">
        <f t="shared" si="7"/>
        <v>100</v>
      </c>
    </row>
    <row r="144" spans="2:28" ht="12.75">
      <c r="B144" s="77">
        <f t="shared" si="12"/>
        <v>-7</v>
      </c>
      <c r="C144" s="87">
        <f t="shared" si="8"/>
        <v>-6.687089043440806</v>
      </c>
      <c r="D144" s="88">
        <f t="shared" si="9"/>
        <v>16.28591795235122</v>
      </c>
      <c r="I144" s="87">
        <f t="shared" si="10"/>
        <v>502.11121582483463</v>
      </c>
      <c r="J144" s="88">
        <f t="shared" si="11"/>
        <v>2.8727431439559794</v>
      </c>
      <c r="O144" s="87">
        <f t="shared" si="2"/>
        <v>-1.3036601208988632</v>
      </c>
      <c r="P144" s="88">
        <f t="shared" si="3"/>
        <v>58.53948854926344</v>
      </c>
      <c r="U144" s="87">
        <f t="shared" si="4"/>
        <v>100</v>
      </c>
      <c r="V144" s="88">
        <f t="shared" si="5"/>
        <v>100</v>
      </c>
      <c r="AA144" s="87">
        <f t="shared" si="6"/>
        <v>100</v>
      </c>
      <c r="AB144" s="88">
        <f t="shared" si="7"/>
        <v>100</v>
      </c>
    </row>
    <row r="145" spans="2:28" ht="12.75">
      <c r="B145" s="77">
        <f t="shared" si="12"/>
        <v>-6</v>
      </c>
      <c r="C145" s="87">
        <f t="shared" si="8"/>
        <v>-5.731790608663548</v>
      </c>
      <c r="D145" s="88">
        <f t="shared" si="9"/>
        <v>15.239124653424518</v>
      </c>
      <c r="I145" s="87">
        <f t="shared" si="10"/>
        <v>430.38104213557256</v>
      </c>
      <c r="J145" s="88">
        <f t="shared" si="11"/>
        <v>2.886684278468382</v>
      </c>
      <c r="O145" s="87">
        <f t="shared" si="2"/>
        <v>-1.1174229607704542</v>
      </c>
      <c r="P145" s="88">
        <f t="shared" si="3"/>
        <v>53.16999086517876</v>
      </c>
      <c r="U145" s="87">
        <f t="shared" si="4"/>
        <v>100</v>
      </c>
      <c r="V145" s="88">
        <f t="shared" si="5"/>
        <v>100</v>
      </c>
      <c r="AA145" s="87">
        <f t="shared" si="6"/>
        <v>100</v>
      </c>
      <c r="AB145" s="88">
        <f t="shared" si="7"/>
        <v>100</v>
      </c>
    </row>
    <row r="146" spans="2:28" ht="12.75">
      <c r="B146" s="77">
        <f t="shared" si="12"/>
        <v>-5</v>
      </c>
      <c r="C146" s="87">
        <f t="shared" si="8"/>
        <v>-4.7764921738862895</v>
      </c>
      <c r="D146" s="88">
        <f t="shared" si="9"/>
        <v>14.192331354497817</v>
      </c>
      <c r="I146" s="87">
        <f t="shared" si="10"/>
        <v>358.6508684463104</v>
      </c>
      <c r="J146" s="88">
        <f t="shared" si="11"/>
        <v>2.9006254129807845</v>
      </c>
      <c r="O146" s="87">
        <f t="shared" si="2"/>
        <v>-0.931185800642045</v>
      </c>
      <c r="P146" s="88">
        <f t="shared" si="3"/>
        <v>47.80049318109408</v>
      </c>
      <c r="U146" s="87">
        <f t="shared" si="4"/>
        <v>100</v>
      </c>
      <c r="V146" s="88">
        <f t="shared" si="5"/>
        <v>100</v>
      </c>
      <c r="AA146" s="87">
        <f t="shared" si="6"/>
        <v>100</v>
      </c>
      <c r="AB146" s="88">
        <f t="shared" si="7"/>
        <v>100</v>
      </c>
    </row>
    <row r="147" spans="2:28" ht="12.75">
      <c r="B147" s="77">
        <f t="shared" si="12"/>
        <v>-4</v>
      </c>
      <c r="C147" s="87">
        <f t="shared" si="8"/>
        <v>-3.821193739109032</v>
      </c>
      <c r="D147" s="88">
        <f t="shared" si="9"/>
        <v>13.145538055571116</v>
      </c>
      <c r="I147" s="87">
        <f t="shared" si="10"/>
        <v>286.92069475704835</v>
      </c>
      <c r="J147" s="88">
        <f t="shared" si="11"/>
        <v>2.914566547493187</v>
      </c>
      <c r="O147" s="87">
        <f t="shared" si="2"/>
        <v>-0.7449486405136361</v>
      </c>
      <c r="P147" s="88">
        <f t="shared" si="3"/>
        <v>42.430995497009405</v>
      </c>
      <c r="U147" s="87">
        <f t="shared" si="4"/>
        <v>100</v>
      </c>
      <c r="V147" s="88">
        <f t="shared" si="5"/>
        <v>100</v>
      </c>
      <c r="AA147" s="87">
        <f t="shared" si="6"/>
        <v>100</v>
      </c>
      <c r="AB147" s="88">
        <f t="shared" si="7"/>
        <v>100</v>
      </c>
    </row>
    <row r="148" spans="2:28" ht="12.75">
      <c r="B148" s="77">
        <f t="shared" si="12"/>
        <v>-3</v>
      </c>
      <c r="C148" s="87">
        <f t="shared" si="8"/>
        <v>-2.865895304331774</v>
      </c>
      <c r="D148" s="88">
        <f t="shared" si="9"/>
        <v>12.098744756644415</v>
      </c>
      <c r="I148" s="87">
        <f t="shared" si="10"/>
        <v>215.19052106778628</v>
      </c>
      <c r="J148" s="88">
        <f t="shared" si="11"/>
        <v>2.9285076820055895</v>
      </c>
      <c r="O148" s="87">
        <f t="shared" si="2"/>
        <v>-0.5587114803852271</v>
      </c>
      <c r="P148" s="88">
        <f t="shared" si="3"/>
        <v>37.06149781292473</v>
      </c>
      <c r="U148" s="87">
        <f t="shared" si="4"/>
        <v>100</v>
      </c>
      <c r="V148" s="88">
        <f t="shared" si="5"/>
        <v>100</v>
      </c>
      <c r="AA148" s="87">
        <f t="shared" si="6"/>
        <v>100</v>
      </c>
      <c r="AB148" s="88">
        <f t="shared" si="7"/>
        <v>100</v>
      </c>
    </row>
    <row r="149" spans="2:28" ht="12.75">
      <c r="B149" s="77">
        <f t="shared" si="12"/>
        <v>-2</v>
      </c>
      <c r="C149" s="87">
        <f t="shared" si="8"/>
        <v>-1.910596869554516</v>
      </c>
      <c r="D149" s="88">
        <f t="shared" si="9"/>
        <v>11.051951457717712</v>
      </c>
      <c r="I149" s="87">
        <f t="shared" si="10"/>
        <v>143.46034737852418</v>
      </c>
      <c r="J149" s="88">
        <f t="shared" si="11"/>
        <v>2.942448816517992</v>
      </c>
      <c r="O149" s="87">
        <f t="shared" si="2"/>
        <v>-0.37247432025681804</v>
      </c>
      <c r="P149" s="88">
        <f t="shared" si="3"/>
        <v>31.69200012884005</v>
      </c>
      <c r="U149" s="87">
        <f t="shared" si="4"/>
        <v>100</v>
      </c>
      <c r="V149" s="88">
        <f t="shared" si="5"/>
        <v>100</v>
      </c>
      <c r="AA149" s="87">
        <f t="shared" si="6"/>
        <v>100</v>
      </c>
      <c r="AB149" s="88">
        <f t="shared" si="7"/>
        <v>100</v>
      </c>
    </row>
    <row r="150" spans="2:28" ht="12.75">
      <c r="B150" s="77">
        <f t="shared" si="12"/>
        <v>-1</v>
      </c>
      <c r="C150" s="87">
        <f t="shared" si="8"/>
        <v>-0.955298434777258</v>
      </c>
      <c r="D150" s="88">
        <f t="shared" si="9"/>
        <v>10.00515815879101</v>
      </c>
      <c r="I150" s="87">
        <f t="shared" si="10"/>
        <v>71.73017368926209</v>
      </c>
      <c r="J150" s="88">
        <f t="shared" si="11"/>
        <v>2.9563899510303946</v>
      </c>
      <c r="O150" s="87">
        <f t="shared" si="2"/>
        <v>-0.18623716012840902</v>
      </c>
      <c r="P150" s="88">
        <f t="shared" si="3"/>
        <v>26.322502444755372</v>
      </c>
      <c r="U150" s="87">
        <f t="shared" si="4"/>
        <v>100</v>
      </c>
      <c r="V150" s="88">
        <f t="shared" si="5"/>
        <v>100</v>
      </c>
      <c r="AA150" s="87">
        <f t="shared" si="6"/>
        <v>100</v>
      </c>
      <c r="AB150" s="88">
        <f t="shared" si="7"/>
        <v>100</v>
      </c>
    </row>
    <row r="151" spans="2:28" ht="12.75">
      <c r="B151" s="77">
        <f t="shared" si="12"/>
        <v>0</v>
      </c>
      <c r="C151" s="87">
        <f t="shared" si="8"/>
        <v>0</v>
      </c>
      <c r="D151" s="88">
        <f t="shared" si="9"/>
        <v>8.958364859864309</v>
      </c>
      <c r="I151" s="87">
        <f t="shared" si="10"/>
        <v>0</v>
      </c>
      <c r="J151" s="88">
        <f t="shared" si="11"/>
        <v>2.970331085542797</v>
      </c>
      <c r="O151" s="87">
        <f t="shared" si="2"/>
        <v>0</v>
      </c>
      <c r="P151" s="88">
        <f t="shared" si="3"/>
        <v>20.953004760670694</v>
      </c>
      <c r="U151" s="87">
        <f t="shared" si="4"/>
        <v>100</v>
      </c>
      <c r="V151" s="88">
        <f t="shared" si="5"/>
        <v>100</v>
      </c>
      <c r="AA151" s="87">
        <f t="shared" si="6"/>
        <v>100</v>
      </c>
      <c r="AB151" s="88">
        <f t="shared" si="7"/>
        <v>100</v>
      </c>
    </row>
    <row r="152" spans="2:28" ht="12.75">
      <c r="B152" s="77">
        <f t="shared" si="12"/>
        <v>1</v>
      </c>
      <c r="C152" s="87">
        <f t="shared" si="8"/>
        <v>0.955298434777258</v>
      </c>
      <c r="D152" s="88">
        <f t="shared" si="9"/>
        <v>7.911571560937608</v>
      </c>
      <c r="I152" s="87">
        <f t="shared" si="10"/>
        <v>-71.73017368926209</v>
      </c>
      <c r="J152" s="88">
        <f t="shared" si="11"/>
        <v>2.9842722200551997</v>
      </c>
      <c r="O152" s="87">
        <f t="shared" si="2"/>
        <v>0.18623716012840902</v>
      </c>
      <c r="P152" s="88">
        <f t="shared" si="3"/>
        <v>15.583507076586017</v>
      </c>
      <c r="U152" s="87">
        <f t="shared" si="4"/>
        <v>100</v>
      </c>
      <c r="V152" s="88">
        <f t="shared" si="5"/>
        <v>100</v>
      </c>
      <c r="AA152" s="87">
        <f t="shared" si="6"/>
        <v>100</v>
      </c>
      <c r="AB152" s="88">
        <f t="shared" si="7"/>
        <v>100</v>
      </c>
    </row>
    <row r="153" spans="2:28" ht="12.75">
      <c r="B153" s="77">
        <f t="shared" si="12"/>
        <v>2</v>
      </c>
      <c r="C153" s="87">
        <f t="shared" si="8"/>
        <v>1.910596869554516</v>
      </c>
      <c r="D153" s="88">
        <f t="shared" si="9"/>
        <v>6.864778262010907</v>
      </c>
      <c r="I153" s="87">
        <f t="shared" si="10"/>
        <v>-143.46034737852418</v>
      </c>
      <c r="J153" s="88">
        <f t="shared" si="11"/>
        <v>2.998213354567602</v>
      </c>
      <c r="O153" s="87">
        <f t="shared" si="2"/>
        <v>0.37247432025681804</v>
      </c>
      <c r="P153" s="88">
        <f t="shared" si="3"/>
        <v>10.214009392501339</v>
      </c>
      <c r="U153" s="87">
        <f t="shared" si="4"/>
        <v>100</v>
      </c>
      <c r="V153" s="88">
        <f t="shared" si="5"/>
        <v>100</v>
      </c>
      <c r="AA153" s="87">
        <f t="shared" si="6"/>
        <v>100</v>
      </c>
      <c r="AB153" s="88">
        <f t="shared" si="7"/>
        <v>100</v>
      </c>
    </row>
    <row r="154" spans="2:28" ht="12.75">
      <c r="B154" s="77">
        <f t="shared" si="12"/>
        <v>3</v>
      </c>
      <c r="C154" s="87">
        <f t="shared" si="8"/>
        <v>2.865895304331774</v>
      </c>
      <c r="D154" s="88">
        <f t="shared" si="9"/>
        <v>5.817984963084204</v>
      </c>
      <c r="I154" s="87">
        <f t="shared" si="10"/>
        <v>-215.19052106778628</v>
      </c>
      <c r="J154" s="88">
        <f t="shared" si="11"/>
        <v>3.0121544890800047</v>
      </c>
      <c r="O154" s="87">
        <f t="shared" si="2"/>
        <v>0.5587114803852271</v>
      </c>
      <c r="P154" s="88">
        <f t="shared" si="3"/>
        <v>4.844511708416661</v>
      </c>
      <c r="U154" s="87">
        <f t="shared" si="4"/>
        <v>100</v>
      </c>
      <c r="V154" s="88">
        <f t="shared" si="5"/>
        <v>100</v>
      </c>
      <c r="AA154" s="87">
        <f t="shared" si="6"/>
        <v>100</v>
      </c>
      <c r="AB154" s="88">
        <f t="shared" si="7"/>
        <v>100</v>
      </c>
    </row>
    <row r="155" spans="2:28" ht="12.75">
      <c r="B155" s="77">
        <f t="shared" si="12"/>
        <v>4</v>
      </c>
      <c r="C155" s="87">
        <f t="shared" si="8"/>
        <v>3.821193739109032</v>
      </c>
      <c r="D155" s="88">
        <f t="shared" si="9"/>
        <v>4.771191664157503</v>
      </c>
      <c r="I155" s="87">
        <f t="shared" si="10"/>
        <v>-286.92069475704835</v>
      </c>
      <c r="J155" s="88">
        <f t="shared" si="11"/>
        <v>3.0260956235924072</v>
      </c>
      <c r="O155" s="87">
        <f t="shared" si="2"/>
        <v>0.7449486405136361</v>
      </c>
      <c r="P155" s="88">
        <f t="shared" si="3"/>
        <v>-0.5249859756680166</v>
      </c>
      <c r="U155" s="87">
        <f t="shared" si="4"/>
        <v>100</v>
      </c>
      <c r="V155" s="88">
        <f t="shared" si="5"/>
        <v>100</v>
      </c>
      <c r="AA155" s="87">
        <f t="shared" si="6"/>
        <v>100</v>
      </c>
      <c r="AB155" s="88">
        <f t="shared" si="7"/>
        <v>100</v>
      </c>
    </row>
    <row r="156" spans="2:28" ht="12.75">
      <c r="B156" s="77">
        <f t="shared" si="12"/>
        <v>5</v>
      </c>
      <c r="C156" s="87">
        <f t="shared" si="8"/>
        <v>4.7764921738862895</v>
      </c>
      <c r="D156" s="88">
        <f t="shared" si="9"/>
        <v>3.724398365230802</v>
      </c>
      <c r="I156" s="87">
        <f t="shared" si="10"/>
        <v>-358.6508684463104</v>
      </c>
      <c r="J156" s="88">
        <f t="shared" si="11"/>
        <v>3.0400367581048098</v>
      </c>
      <c r="O156" s="87">
        <f t="shared" si="2"/>
        <v>0.931185800642045</v>
      </c>
      <c r="P156" s="88">
        <f t="shared" si="3"/>
        <v>-5.894483659752694</v>
      </c>
      <c r="U156" s="87">
        <f t="shared" si="4"/>
        <v>100</v>
      </c>
      <c r="V156" s="88">
        <f t="shared" si="5"/>
        <v>100</v>
      </c>
      <c r="AA156" s="87">
        <f t="shared" si="6"/>
        <v>100</v>
      </c>
      <c r="AB156" s="88">
        <f t="shared" si="7"/>
        <v>100</v>
      </c>
    </row>
    <row r="157" spans="2:28" ht="12.75">
      <c r="B157" s="77">
        <f t="shared" si="12"/>
        <v>6</v>
      </c>
      <c r="C157" s="87">
        <f t="shared" si="8"/>
        <v>5.731790608663548</v>
      </c>
      <c r="D157" s="88">
        <f t="shared" si="9"/>
        <v>2.6776050663041</v>
      </c>
      <c r="I157" s="87">
        <f t="shared" si="10"/>
        <v>-430.38104213557256</v>
      </c>
      <c r="J157" s="88">
        <f t="shared" si="11"/>
        <v>3.0539778926172123</v>
      </c>
      <c r="O157" s="87">
        <f t="shared" si="2"/>
        <v>1.1174229607704542</v>
      </c>
      <c r="P157" s="88">
        <f t="shared" si="3"/>
        <v>-11.263981343837372</v>
      </c>
      <c r="U157" s="87">
        <f t="shared" si="4"/>
        <v>100</v>
      </c>
      <c r="V157" s="88">
        <f t="shared" si="5"/>
        <v>100</v>
      </c>
      <c r="AA157" s="87">
        <f t="shared" si="6"/>
        <v>100</v>
      </c>
      <c r="AB157" s="88">
        <f t="shared" si="7"/>
        <v>100</v>
      </c>
    </row>
    <row r="158" spans="2:28" ht="12.75">
      <c r="B158" s="77">
        <f t="shared" si="12"/>
        <v>7</v>
      </c>
      <c r="C158" s="87">
        <f t="shared" si="8"/>
        <v>6.687089043440806</v>
      </c>
      <c r="D158" s="88">
        <f t="shared" si="9"/>
        <v>1.6308117673773985</v>
      </c>
      <c r="I158" s="87">
        <f t="shared" si="10"/>
        <v>-502.11121582483463</v>
      </c>
      <c r="J158" s="88">
        <f t="shared" si="11"/>
        <v>3.067919027129615</v>
      </c>
      <c r="O158" s="87">
        <f t="shared" si="2"/>
        <v>1.3036601208988632</v>
      </c>
      <c r="P158" s="88">
        <f t="shared" si="3"/>
        <v>-16.63347902792205</v>
      </c>
      <c r="U158" s="87">
        <f t="shared" si="4"/>
        <v>100</v>
      </c>
      <c r="V158" s="88">
        <f t="shared" si="5"/>
        <v>100</v>
      </c>
      <c r="AA158" s="87">
        <f t="shared" si="6"/>
        <v>100</v>
      </c>
      <c r="AB158" s="88">
        <f t="shared" si="7"/>
        <v>100</v>
      </c>
    </row>
    <row r="159" spans="2:28" ht="12.75">
      <c r="B159" s="77">
        <f t="shared" si="12"/>
        <v>8</v>
      </c>
      <c r="C159" s="87">
        <f t="shared" si="8"/>
        <v>7.642387478218064</v>
      </c>
      <c r="D159" s="88">
        <f t="shared" si="9"/>
        <v>0.5840184684506973</v>
      </c>
      <c r="I159" s="87">
        <f t="shared" si="10"/>
        <v>-573.8413895140967</v>
      </c>
      <c r="J159" s="88">
        <f t="shared" si="11"/>
        <v>3.0818601616420174</v>
      </c>
      <c r="O159" s="87">
        <f t="shared" si="2"/>
        <v>1.4898972810272721</v>
      </c>
      <c r="P159" s="88">
        <f t="shared" si="3"/>
        <v>-22.002976712006728</v>
      </c>
      <c r="U159" s="87">
        <f t="shared" si="4"/>
        <v>100</v>
      </c>
      <c r="V159" s="88">
        <f t="shared" si="5"/>
        <v>100</v>
      </c>
      <c r="AA159" s="87">
        <f t="shared" si="6"/>
        <v>100</v>
      </c>
      <c r="AB159" s="88">
        <f t="shared" si="7"/>
        <v>100</v>
      </c>
    </row>
    <row r="160" spans="2:28" ht="12.75">
      <c r="B160" s="77">
        <f t="shared" si="12"/>
        <v>9</v>
      </c>
      <c r="C160" s="87">
        <f t="shared" si="8"/>
        <v>8.597685912995322</v>
      </c>
      <c r="D160" s="88">
        <f t="shared" si="9"/>
        <v>-0.462774830476004</v>
      </c>
      <c r="I160" s="87">
        <f t="shared" si="10"/>
        <v>-645.5715632033588</v>
      </c>
      <c r="J160" s="88">
        <f t="shared" si="11"/>
        <v>3.09580129615442</v>
      </c>
      <c r="O160" s="87">
        <f t="shared" si="2"/>
        <v>1.676134441155681</v>
      </c>
      <c r="P160" s="88">
        <f t="shared" si="3"/>
        <v>-27.372474396091405</v>
      </c>
      <c r="U160" s="87">
        <f t="shared" si="4"/>
        <v>100</v>
      </c>
      <c r="V160" s="88">
        <f t="shared" si="5"/>
        <v>100</v>
      </c>
      <c r="AA160" s="87">
        <f t="shared" si="6"/>
        <v>100</v>
      </c>
      <c r="AB160" s="88">
        <f t="shared" si="7"/>
        <v>100</v>
      </c>
    </row>
    <row r="161" spans="2:28" ht="12.75">
      <c r="B161" s="77">
        <f t="shared" si="12"/>
        <v>10</v>
      </c>
      <c r="C161" s="89">
        <f t="shared" si="8"/>
        <v>9.552984347772579</v>
      </c>
      <c r="D161" s="90">
        <f t="shared" si="9"/>
        <v>-1.5095681294027052</v>
      </c>
      <c r="I161" s="89">
        <f t="shared" si="10"/>
        <v>-717.3017368926209</v>
      </c>
      <c r="J161" s="90">
        <f t="shared" si="11"/>
        <v>3.1097424306668224</v>
      </c>
      <c r="O161" s="89">
        <f t="shared" si="2"/>
        <v>1.86237160128409</v>
      </c>
      <c r="P161" s="90">
        <f t="shared" si="3"/>
        <v>-32.74197208017608</v>
      </c>
      <c r="U161" s="89">
        <f t="shared" si="4"/>
        <v>100</v>
      </c>
      <c r="V161" s="90">
        <f t="shared" si="5"/>
        <v>100</v>
      </c>
      <c r="AA161" s="89">
        <f t="shared" si="6"/>
        <v>100</v>
      </c>
      <c r="AB161" s="90">
        <f t="shared" si="7"/>
        <v>100</v>
      </c>
    </row>
    <row r="164" ht="13.5" thickBot="1"/>
    <row r="165" spans="2:18" ht="12.75">
      <c r="B165" s="68" t="s">
        <v>98</v>
      </c>
      <c r="J165" s="204" t="s">
        <v>295</v>
      </c>
      <c r="K165" s="205"/>
      <c r="L165" s="205"/>
      <c r="M165" s="205"/>
      <c r="N165" s="205"/>
      <c r="O165" s="205"/>
      <c r="P165" s="205"/>
      <c r="Q165" s="205"/>
      <c r="R165" s="206"/>
    </row>
    <row r="166" spans="10:18" ht="12.75">
      <c r="J166" s="207"/>
      <c r="K166" s="208"/>
      <c r="L166" s="208"/>
      <c r="M166" s="208"/>
      <c r="N166" s="208"/>
      <c r="O166" s="208"/>
      <c r="P166" s="208"/>
      <c r="Q166" s="208"/>
      <c r="R166" s="209"/>
    </row>
    <row r="167" spans="2:18" ht="12.75">
      <c r="B167" s="202" t="s">
        <v>288</v>
      </c>
      <c r="C167" s="116">
        <f>(J136-D136)/(D135-J135)</f>
        <v>5.645177139114038</v>
      </c>
      <c r="D167" s="94"/>
      <c r="F167" s="117"/>
      <c r="G167" s="59"/>
      <c r="J167" s="210" t="s">
        <v>289</v>
      </c>
      <c r="K167" s="211">
        <f>IF(BL25&lt;&gt;0,L234,IF(AW25&lt;&gt;0,I209,IF(AH25&lt;&gt;0,F187,C167)))</f>
        <v>4.025792496545235</v>
      </c>
      <c r="L167" s="203" t="s">
        <v>291</v>
      </c>
      <c r="M167" s="212">
        <f>K167</f>
        <v>4.025792496545235</v>
      </c>
      <c r="N167" s="203" t="s">
        <v>294</v>
      </c>
      <c r="O167" s="213">
        <f>D55+M167/60</f>
        <v>-20.262903458390912</v>
      </c>
      <c r="P167" s="214">
        <f>INT(SIGN(O167)*O167)</f>
        <v>20</v>
      </c>
      <c r="Q167" s="215">
        <f>(SIGN(O167)*O167-INT(SIGN(O167)*O167))*60</f>
        <v>15.774207503454747</v>
      </c>
      <c r="R167" s="209" t="str">
        <f>IF(O167&gt;=0,"E","W")</f>
        <v>W</v>
      </c>
    </row>
    <row r="168" spans="2:18" ht="13.5" thickBot="1">
      <c r="B168" s="115" t="s">
        <v>148</v>
      </c>
      <c r="C168" s="111">
        <f>C167*D135+D136</f>
        <v>3.0490312593855267</v>
      </c>
      <c r="D168" s="94"/>
      <c r="F168" s="117"/>
      <c r="G168" s="59"/>
      <c r="J168" s="216" t="s">
        <v>290</v>
      </c>
      <c r="K168" s="217">
        <f>IF(BL25&lt;&gt;0,L235,IF(AW25&lt;&gt;0,I210,IF(AH25&lt;&gt;0,F188,C168)))</f>
        <v>3.792445893132937</v>
      </c>
      <c r="L168" s="218" t="s">
        <v>292</v>
      </c>
      <c r="M168" s="219">
        <f>K168*COS(RADIANS(SIGN($D$54)*$D$54))</f>
        <v>3.40605095014756</v>
      </c>
      <c r="N168" s="218" t="s">
        <v>293</v>
      </c>
      <c r="O168" s="220">
        <f>D54+M168/60</f>
        <v>26.145434182502463</v>
      </c>
      <c r="P168" s="221">
        <f>INT(SIGN(O168)*O168)</f>
        <v>26</v>
      </c>
      <c r="Q168" s="222">
        <f>(SIGN(O168)*O168-INT(SIGN(O168)*O168))*60</f>
        <v>8.726050950147766</v>
      </c>
      <c r="R168" s="223" t="str">
        <f>IF(O168&gt;=0,"N","S")</f>
        <v>N</v>
      </c>
    </row>
    <row r="169" spans="2:3" ht="12.75">
      <c r="B169" s="115"/>
      <c r="C169" s="116"/>
    </row>
    <row r="170" spans="2:12" ht="12.75">
      <c r="B170" s="115"/>
      <c r="C170" s="116"/>
      <c r="K170" s="14" t="s">
        <v>369</v>
      </c>
      <c r="L170" s="459">
        <f>SIGN(DEGREES(ATAN(K167/K168)))*DEGREES(ATAN(K167/K168))</f>
        <v>46.70956768218284</v>
      </c>
    </row>
    <row r="171" spans="2:13" ht="12.75">
      <c r="B171" s="68" t="s">
        <v>104</v>
      </c>
      <c r="K171" s="460" t="s">
        <v>370</v>
      </c>
      <c r="L171" s="461">
        <f>IF(AND(K167=0,K168=0),"",IF(AND(K167&gt;0,K168=0),90,IF(AND(K167&lt;0,K168=0),270,IF(AND(K167&gt;=0,K168&gt;0),L170,IF(AND(K167&lt;=0,K168&lt;0),L170+180,IF(AND(K167&lt;0,K168&gt;0),360-L170,180-L170))))))</f>
        <v>46.70956768218284</v>
      </c>
      <c r="M171" s="492">
        <f>SQRT((M167*COS(RADIANS(D54)))^2+M168^2)</f>
        <v>4.967284197269196</v>
      </c>
    </row>
    <row r="172" ht="13.5" thickBot="1"/>
    <row r="173" spans="2:9" ht="12.75">
      <c r="B173" s="188" t="s">
        <v>108</v>
      </c>
      <c r="C173" s="189" t="s">
        <v>105</v>
      </c>
      <c r="D173" s="190" t="s">
        <v>111</v>
      </c>
      <c r="E173" s="190" t="s">
        <v>125</v>
      </c>
      <c r="F173" s="189" t="s">
        <v>119</v>
      </c>
      <c r="G173" s="189" t="s">
        <v>122</v>
      </c>
      <c r="H173" s="189" t="s">
        <v>128</v>
      </c>
      <c r="I173" s="191" t="s">
        <v>129</v>
      </c>
    </row>
    <row r="174" spans="2:9" ht="12.75">
      <c r="B174" s="192"/>
      <c r="C174" s="134">
        <f>IF(($D$50-$S$50)&lt;0,$S$50-$D$50,$D$50-$S$50)</f>
        <v>132.89162929983632</v>
      </c>
      <c r="D174" s="134">
        <f>IF(C174&gt;180,360-C174,C174)</f>
        <v>132.89162929983632</v>
      </c>
      <c r="E174" s="135">
        <f>IF(D174&gt;90,180-D174,D174)</f>
        <v>47.108370700163675</v>
      </c>
      <c r="F174" s="136">
        <f>SQRT(2*C180^2/(SIN(RADIANS(E174)))^2+C181^2/(COS(RADIANS(E174/2)))^2)</f>
        <v>2.0244299661361524</v>
      </c>
      <c r="G174" s="136">
        <f>1/F174^2</f>
        <v>0.24400261770381634</v>
      </c>
      <c r="H174" s="137">
        <f>($J$136-$D$136)/($D$135-$J$135)</f>
        <v>5.645177139114038</v>
      </c>
      <c r="I174" s="193">
        <f>$D$135*H174+$D$136</f>
        <v>3.0490312593855267</v>
      </c>
    </row>
    <row r="175" spans="2:9" ht="12.75">
      <c r="B175" s="194" t="s">
        <v>109</v>
      </c>
      <c r="C175" s="127" t="s">
        <v>106</v>
      </c>
      <c r="D175" s="128" t="s">
        <v>112</v>
      </c>
      <c r="E175" s="128" t="s">
        <v>126</v>
      </c>
      <c r="F175" s="127" t="s">
        <v>121</v>
      </c>
      <c r="G175" s="127" t="s">
        <v>123</v>
      </c>
      <c r="H175" s="127" t="s">
        <v>130</v>
      </c>
      <c r="I175" s="195" t="s">
        <v>132</v>
      </c>
    </row>
    <row r="176" spans="2:9" ht="12.75">
      <c r="B176" s="192"/>
      <c r="C176" s="134">
        <f>IF(($S$50-$AH$50)&lt;0,$AH$50-$S$50,$S$50-$AH$50)</f>
        <v>279.75102484989065</v>
      </c>
      <c r="D176" s="134">
        <f>IF(C176&gt;180,360-C176,C176)</f>
        <v>80.24897515010935</v>
      </c>
      <c r="E176" s="135">
        <f>IF(D176&gt;90,180-D176,D176)</f>
        <v>80.24897515010935</v>
      </c>
      <c r="F176" s="136">
        <f>SQRT(2*C180^2/(SIN(RADIANS(E176)))^2+C181^2/(COS(RADIANS(E176/2)))^2)</f>
        <v>1.9443950447809337</v>
      </c>
      <c r="G176" s="136">
        <f>1/F176^2</f>
        <v>0.2645032354433552</v>
      </c>
      <c r="H176" s="137">
        <f>($P$136-$J$136)/($J$135-$P$135)</f>
        <v>3.340369284593108</v>
      </c>
      <c r="I176" s="193">
        <f>$J$135*H176+$J$136</f>
        <v>3.0168996230604073</v>
      </c>
    </row>
    <row r="177" spans="2:9" ht="12.75">
      <c r="B177" s="194" t="s">
        <v>110</v>
      </c>
      <c r="C177" s="127" t="s">
        <v>107</v>
      </c>
      <c r="D177" s="128" t="s">
        <v>113</v>
      </c>
      <c r="E177" s="128" t="s">
        <v>127</v>
      </c>
      <c r="F177" s="127" t="s">
        <v>120</v>
      </c>
      <c r="G177" s="127" t="s">
        <v>124</v>
      </c>
      <c r="H177" s="127" t="s">
        <v>131</v>
      </c>
      <c r="I177" s="195" t="s">
        <v>133</v>
      </c>
    </row>
    <row r="178" spans="2:9" ht="13.5" thickBot="1">
      <c r="B178" s="196"/>
      <c r="C178" s="197">
        <f>IF(($D$50-$AH$50)&lt;0,$AH$50-$D$50,$D$50-$AH$50)</f>
        <v>146.85939555005433</v>
      </c>
      <c r="D178" s="197">
        <f>IF(C178&gt;180,360-C178,C178)</f>
        <v>146.85939555005433</v>
      </c>
      <c r="E178" s="198">
        <f>IF(D178&gt;90,180-D178,D178)</f>
        <v>33.14060444994567</v>
      </c>
      <c r="F178" s="199">
        <f>SQRT(2*C180^2/(SIN(RADIANS(E178)))^2+C181^2/(COS(RADIANS(E178/2)))^2)</f>
        <v>2.4187194317106075</v>
      </c>
      <c r="G178" s="199">
        <f>1/F178^2</f>
        <v>0.17093421923463992</v>
      </c>
      <c r="H178" s="200">
        <f>($P$136-$D$136)/($D$135-$P$135)</f>
        <v>2.7747999474565117</v>
      </c>
      <c r="I178" s="201">
        <f>$D$135*H178+$D$136</f>
        <v>6.05372286900467</v>
      </c>
    </row>
    <row r="179" spans="2:9" ht="12.75">
      <c r="B179" s="26"/>
      <c r="C179" s="123"/>
      <c r="D179" s="123"/>
      <c r="E179" s="124"/>
      <c r="F179" s="130"/>
      <c r="G179" s="130"/>
      <c r="H179" s="131"/>
      <c r="I179" s="187"/>
    </row>
    <row r="180" spans="2:9" ht="12.75">
      <c r="B180" s="94" t="s">
        <v>114</v>
      </c>
      <c r="C180" s="121">
        <v>0.8</v>
      </c>
      <c r="D180" s="123"/>
      <c r="E180" s="124"/>
      <c r="F180" s="130"/>
      <c r="G180" s="130"/>
      <c r="H180" s="131"/>
      <c r="I180" s="187"/>
    </row>
    <row r="181" spans="2:9" ht="12.75">
      <c r="B181" s="94" t="s">
        <v>117</v>
      </c>
      <c r="C181" s="121">
        <v>1.2</v>
      </c>
      <c r="D181" s="123"/>
      <c r="E181" s="124"/>
      <c r="F181" s="130"/>
      <c r="G181" s="130"/>
      <c r="H181" s="131"/>
      <c r="I181" s="187"/>
    </row>
    <row r="182" spans="2:9" ht="12.75">
      <c r="B182" s="26"/>
      <c r="C182" s="123"/>
      <c r="D182" s="123"/>
      <c r="E182" s="124"/>
      <c r="F182" s="130"/>
      <c r="G182" s="130"/>
      <c r="H182" s="131"/>
      <c r="I182" s="187"/>
    </row>
    <row r="183" spans="2:11" ht="12.75">
      <c r="B183" s="83" t="s">
        <v>137</v>
      </c>
      <c r="E183" s="83" t="s">
        <v>140</v>
      </c>
      <c r="H183" s="83"/>
      <c r="K183" s="83"/>
    </row>
    <row r="184" spans="2:12" ht="12.75">
      <c r="B184" s="14" t="s">
        <v>134</v>
      </c>
      <c r="C184" s="120">
        <f>SQRT((H174-H176)^2+(I174-I176)^2)</f>
        <v>2.3050318193713295</v>
      </c>
      <c r="E184" s="14" t="s">
        <v>142</v>
      </c>
      <c r="F184" s="120">
        <f>SQRT((C187-H178)^2+(C188-I178)^2)</f>
        <v>3.452947550254824</v>
      </c>
      <c r="H184" s="14"/>
      <c r="I184" s="120"/>
      <c r="K184" s="14"/>
      <c r="L184" s="120"/>
    </row>
    <row r="185" spans="2:12" ht="12.75">
      <c r="B185" s="14" t="s">
        <v>135</v>
      </c>
      <c r="C185" s="120">
        <f>G176*C184/(G174+G176)</f>
        <v>1.1989800515573306</v>
      </c>
      <c r="E185" s="14" t="s">
        <v>141</v>
      </c>
      <c r="F185" s="120">
        <f>G178*F184/(G178+C189)</f>
        <v>0.8686960300882766</v>
      </c>
      <c r="H185" s="14"/>
      <c r="I185" s="120"/>
      <c r="K185" s="14"/>
      <c r="L185" s="120"/>
    </row>
    <row r="186" spans="2:12" ht="12.75">
      <c r="B186" s="14" t="s">
        <v>136</v>
      </c>
      <c r="C186" s="120">
        <f>C184-C185</f>
        <v>1.106051767813999</v>
      </c>
      <c r="E186" s="14" t="s">
        <v>143</v>
      </c>
      <c r="F186" s="120">
        <f>F184-F185</f>
        <v>2.5842515201665472</v>
      </c>
      <c r="H186" s="14"/>
      <c r="I186" s="120"/>
      <c r="K186" s="14"/>
      <c r="L186" s="120"/>
    </row>
    <row r="187" spans="2:12" ht="12.75">
      <c r="B187" s="14" t="s">
        <v>138</v>
      </c>
      <c r="C187" s="78">
        <f>H174-C185*(H174-H176)/C184</f>
        <v>4.4463135845983635</v>
      </c>
      <c r="E187" s="14" t="s">
        <v>144</v>
      </c>
      <c r="F187" s="78">
        <f>C187-F185*(C187-H178)/F184</f>
        <v>4.025792496545235</v>
      </c>
      <c r="H187" s="14"/>
      <c r="I187" s="78"/>
      <c r="K187" s="14"/>
      <c r="L187" s="78"/>
    </row>
    <row r="188" spans="2:12" ht="12.75">
      <c r="B188" s="14" t="s">
        <v>139</v>
      </c>
      <c r="C188" s="78">
        <f>I174-C185*(I174-I176)/C184</f>
        <v>3.0323177413100058</v>
      </c>
      <c r="E188" s="14" t="s">
        <v>145</v>
      </c>
      <c r="F188" s="78">
        <f>C188-F185*(C188-I178)/F184</f>
        <v>3.792445893132937</v>
      </c>
      <c r="H188" s="14"/>
      <c r="I188" s="78"/>
      <c r="K188" s="14"/>
      <c r="L188" s="78"/>
    </row>
    <row r="189" spans="2:12" ht="12.75">
      <c r="B189" s="14" t="s">
        <v>146</v>
      </c>
      <c r="C189" s="125">
        <f>G174+G176</f>
        <v>0.5085058531471716</v>
      </c>
      <c r="E189" s="14" t="s">
        <v>274</v>
      </c>
      <c r="F189" s="125">
        <f>C189+G178</f>
        <v>0.6794400723818115</v>
      </c>
      <c r="H189" s="14"/>
      <c r="I189" s="125"/>
      <c r="K189" s="14"/>
      <c r="L189" s="125"/>
    </row>
    <row r="191" ht="12.75">
      <c r="B191" s="68" t="s">
        <v>284</v>
      </c>
    </row>
    <row r="192" ht="13.5" thickBot="1"/>
    <row r="193" spans="2:9" ht="12.75">
      <c r="B193" s="188" t="s">
        <v>108</v>
      </c>
      <c r="C193" s="189" t="s">
        <v>105</v>
      </c>
      <c r="D193" s="190" t="s">
        <v>111</v>
      </c>
      <c r="E193" s="190" t="s">
        <v>125</v>
      </c>
      <c r="F193" s="189" t="s">
        <v>119</v>
      </c>
      <c r="G193" s="189" t="s">
        <v>122</v>
      </c>
      <c r="H193" s="189" t="s">
        <v>128</v>
      </c>
      <c r="I193" s="191" t="s">
        <v>129</v>
      </c>
    </row>
    <row r="194" spans="2:9" ht="12.75">
      <c r="B194" s="192"/>
      <c r="C194" s="134">
        <f>IF(($D$50-$S$50)&lt;0,$S$50-$D$50,$D$50-$S$50)</f>
        <v>132.89162929983632</v>
      </c>
      <c r="D194" s="134">
        <f>IF(C194&gt;180,360-C194,C194)</f>
        <v>132.89162929983632</v>
      </c>
      <c r="E194" s="135">
        <f>IF(D194&gt;90,180-D194,D194)</f>
        <v>47.108370700163675</v>
      </c>
      <c r="F194" s="136">
        <f>SQRT(2*C202^2/(SIN(RADIANS(E194)))^2+C203^2/(COS(RADIANS(E194/2)))^2)</f>
        <v>2.0244299661361524</v>
      </c>
      <c r="G194" s="136">
        <f>1/F194^2</f>
        <v>0.24400261770381634</v>
      </c>
      <c r="H194" s="137">
        <f>($J$136-$D$136)/($D$135-$J$135)</f>
        <v>5.645177139114038</v>
      </c>
      <c r="I194" s="193">
        <f>$D$135*H194+$D$136</f>
        <v>3.0490312593855267</v>
      </c>
    </row>
    <row r="195" spans="2:9" ht="12.75">
      <c r="B195" s="194" t="s">
        <v>109</v>
      </c>
      <c r="C195" s="127" t="s">
        <v>106</v>
      </c>
      <c r="D195" s="128" t="s">
        <v>112</v>
      </c>
      <c r="E195" s="128" t="s">
        <v>126</v>
      </c>
      <c r="F195" s="127" t="s">
        <v>121</v>
      </c>
      <c r="G195" s="127" t="s">
        <v>123</v>
      </c>
      <c r="H195" s="127" t="s">
        <v>130</v>
      </c>
      <c r="I195" s="195" t="s">
        <v>132</v>
      </c>
    </row>
    <row r="196" spans="2:9" ht="12.75">
      <c r="B196" s="192"/>
      <c r="C196" s="134">
        <f>IF(($S$50-$AH$50)&lt;0,$AH$50-$S$50,$S$50-$AH$50)</f>
        <v>279.75102484989065</v>
      </c>
      <c r="D196" s="134">
        <f>IF(C196&gt;180,360-C196,C196)</f>
        <v>80.24897515010935</v>
      </c>
      <c r="E196" s="135">
        <f>IF(D196&gt;90,180-D196,D196)</f>
        <v>80.24897515010935</v>
      </c>
      <c r="F196" s="136">
        <f>SQRT(2*C202^2/(SIN(RADIANS(E196)))^2+C203^2/(COS(RADIANS(E196/2)))^2)</f>
        <v>1.9443950447809337</v>
      </c>
      <c r="G196" s="136">
        <f>1/F196^2</f>
        <v>0.2645032354433552</v>
      </c>
      <c r="H196" s="137">
        <f>($P$136-$J$136)/($J$135-$P$135)</f>
        <v>3.340369284593108</v>
      </c>
      <c r="I196" s="193">
        <f>$J$135*H196+$J$136</f>
        <v>3.0168996230604073</v>
      </c>
    </row>
    <row r="197" spans="2:9" ht="12.75">
      <c r="B197" s="194" t="s">
        <v>252</v>
      </c>
      <c r="C197" s="127" t="s">
        <v>254</v>
      </c>
      <c r="D197" s="128" t="s">
        <v>113</v>
      </c>
      <c r="E197" s="128" t="s">
        <v>127</v>
      </c>
      <c r="F197" s="127" t="s">
        <v>120</v>
      </c>
      <c r="G197" s="127" t="s">
        <v>124</v>
      </c>
      <c r="H197" s="127" t="s">
        <v>131</v>
      </c>
      <c r="I197" s="195" t="s">
        <v>133</v>
      </c>
    </row>
    <row r="198" spans="2:9" ht="12.75">
      <c r="B198" s="192"/>
      <c r="C198" s="134" t="e">
        <f>IF(($AH$50-$AW$50)&lt;0,$AW$50-$AH$50,$AH$50-$AW$50)</f>
        <v>#VALUE!</v>
      </c>
      <c r="D198" s="134" t="e">
        <f>IF(C198&gt;180,360-C198,C198)</f>
        <v>#VALUE!</v>
      </c>
      <c r="E198" s="135" t="e">
        <f>IF(D198&gt;90,180-D198,D198)</f>
        <v>#VALUE!</v>
      </c>
      <c r="F198" s="136" t="e">
        <f>SQRT(2*C202^2/(SIN(RADIANS(E198)))^2+C203^2/(COS(RADIANS(E198/2)))^2)</f>
        <v>#VALUE!</v>
      </c>
      <c r="G198" s="136" t="e">
        <f>1/F198^2</f>
        <v>#VALUE!</v>
      </c>
      <c r="H198" s="137" t="e">
        <f>($V$136-$P$136)/($P$135-$V$135)</f>
        <v>#VALUE!</v>
      </c>
      <c r="I198" s="193" t="e">
        <f>$P$135*H198+$P$136</f>
        <v>#VALUE!</v>
      </c>
    </row>
    <row r="199" spans="2:9" ht="12.75">
      <c r="B199" s="194" t="s">
        <v>285</v>
      </c>
      <c r="C199" s="127" t="s">
        <v>286</v>
      </c>
      <c r="D199" s="128" t="s">
        <v>257</v>
      </c>
      <c r="E199" s="128" t="s">
        <v>258</v>
      </c>
      <c r="F199" s="127" t="s">
        <v>260</v>
      </c>
      <c r="G199" s="127" t="s">
        <v>262</v>
      </c>
      <c r="H199" s="127" t="s">
        <v>264</v>
      </c>
      <c r="I199" s="195" t="s">
        <v>266</v>
      </c>
    </row>
    <row r="200" spans="2:9" ht="13.5" thickBot="1">
      <c r="B200" s="196"/>
      <c r="C200" s="197" t="e">
        <f>IF(($D$50-$AW$50)&lt;0,$AW$50-$D$50,$D$50-$AW$50)</f>
        <v>#VALUE!</v>
      </c>
      <c r="D200" s="197" t="e">
        <f>IF(C200&gt;180,360-C200,C200)</f>
        <v>#VALUE!</v>
      </c>
      <c r="E200" s="198" t="e">
        <f>IF(D200&gt;90,180-D200,D200)</f>
        <v>#VALUE!</v>
      </c>
      <c r="F200" s="199" t="e">
        <f>SQRT(2*C202^2/(SIN(RADIANS(E200)))^2+C203^2/(COS(RADIANS(E200/2)))^2)</f>
        <v>#VALUE!</v>
      </c>
      <c r="G200" s="199" t="e">
        <f>1/F200^2</f>
        <v>#VALUE!</v>
      </c>
      <c r="H200" s="200" t="e">
        <f>($V$136-$D$136)/($D$135-$V$135)</f>
        <v>#VALUE!</v>
      </c>
      <c r="I200" s="201" t="e">
        <f>$D$135*H200+$D$136</f>
        <v>#VALUE!</v>
      </c>
    </row>
    <row r="201" spans="2:9" ht="12.75">
      <c r="B201" s="26"/>
      <c r="C201" s="123"/>
      <c r="D201" s="123"/>
      <c r="E201" s="124"/>
      <c r="F201" s="130"/>
      <c r="G201" s="130"/>
      <c r="H201" s="131"/>
      <c r="I201" s="187"/>
    </row>
    <row r="202" spans="2:9" ht="12.75">
      <c r="B202" s="94" t="s">
        <v>114</v>
      </c>
      <c r="C202" s="121">
        <v>0.8</v>
      </c>
      <c r="D202" s="123"/>
      <c r="E202" s="124"/>
      <c r="F202" s="130"/>
      <c r="G202" s="130"/>
      <c r="H202" s="131"/>
      <c r="I202" s="187"/>
    </row>
    <row r="203" spans="2:9" ht="12.75">
      <c r="B203" s="94" t="s">
        <v>117</v>
      </c>
      <c r="C203" s="121">
        <v>1.2</v>
      </c>
      <c r="D203" s="123"/>
      <c r="E203" s="124"/>
      <c r="F203" s="130"/>
      <c r="G203" s="130"/>
      <c r="H203" s="131"/>
      <c r="I203" s="187"/>
    </row>
    <row r="204" spans="2:9" ht="12.75">
      <c r="B204" s="26"/>
      <c r="C204" s="123"/>
      <c r="D204" s="123"/>
      <c r="E204" s="124"/>
      <c r="F204" s="130"/>
      <c r="G204" s="130"/>
      <c r="H204" s="131"/>
      <c r="I204" s="187"/>
    </row>
    <row r="205" spans="2:11" ht="12.75">
      <c r="B205" s="83" t="s">
        <v>137</v>
      </c>
      <c r="E205" s="83" t="s">
        <v>140</v>
      </c>
      <c r="H205" s="83" t="s">
        <v>269</v>
      </c>
      <c r="K205" s="83"/>
    </row>
    <row r="206" spans="2:12" ht="12.75">
      <c r="B206" s="14" t="s">
        <v>134</v>
      </c>
      <c r="C206" s="120">
        <f>SQRT((H194-H196)^2+(I194-I196)^2)</f>
        <v>2.3050318193713295</v>
      </c>
      <c r="E206" s="14" t="s">
        <v>142</v>
      </c>
      <c r="F206" s="120" t="e">
        <f>SQRT((C209-H198)^2+(C210-I198)^2)</f>
        <v>#VALUE!</v>
      </c>
      <c r="H206" s="14" t="s">
        <v>277</v>
      </c>
      <c r="I206" s="120" t="e">
        <f>SQRT((F209-H200)^2+(F210-I200)^2)</f>
        <v>#VALUE!</v>
      </c>
      <c r="K206" s="14"/>
      <c r="L206" s="120"/>
    </row>
    <row r="207" spans="2:12" ht="12.75">
      <c r="B207" s="14" t="s">
        <v>135</v>
      </c>
      <c r="C207" s="120">
        <f>G196*C206/(G194+G196)</f>
        <v>1.1989800515573306</v>
      </c>
      <c r="E207" s="14" t="s">
        <v>141</v>
      </c>
      <c r="F207" s="120" t="e">
        <f>G198*F206/(G198+C211)</f>
        <v>#VALUE!</v>
      </c>
      <c r="H207" s="14" t="s">
        <v>270</v>
      </c>
      <c r="I207" s="120" t="e">
        <f>G200*I206/(G200+F211)</f>
        <v>#VALUE!</v>
      </c>
      <c r="K207" s="14"/>
      <c r="L207" s="120"/>
    </row>
    <row r="208" spans="2:12" ht="12.75">
      <c r="B208" s="14" t="s">
        <v>136</v>
      </c>
      <c r="C208" s="120">
        <f>C206-C207</f>
        <v>1.106051767813999</v>
      </c>
      <c r="E208" s="14" t="s">
        <v>143</v>
      </c>
      <c r="F208" s="120" t="e">
        <f>F206-F207</f>
        <v>#VALUE!</v>
      </c>
      <c r="H208" s="14" t="s">
        <v>278</v>
      </c>
      <c r="I208" s="120" t="e">
        <f>I206-I207</f>
        <v>#VALUE!</v>
      </c>
      <c r="K208" s="14"/>
      <c r="L208" s="120"/>
    </row>
    <row r="209" spans="2:12" ht="12.75">
      <c r="B209" s="14" t="s">
        <v>138</v>
      </c>
      <c r="C209" s="78">
        <f>H194-C207*(H194-H196)/C206</f>
        <v>4.4463135845983635</v>
      </c>
      <c r="E209" s="14" t="s">
        <v>144</v>
      </c>
      <c r="F209" s="78" t="e">
        <f>C209-F207*(C209-H198)/F206</f>
        <v>#VALUE!</v>
      </c>
      <c r="H209" s="14" t="s">
        <v>271</v>
      </c>
      <c r="I209" s="78" t="e">
        <f>F209-I207*(F209-H200)/I206</f>
        <v>#VALUE!</v>
      </c>
      <c r="K209" s="14"/>
      <c r="L209" s="78"/>
    </row>
    <row r="210" spans="2:12" ht="12.75">
      <c r="B210" s="14" t="s">
        <v>139</v>
      </c>
      <c r="C210" s="78">
        <f>I194-C207*(I194-I196)/C206</f>
        <v>3.0323177413100058</v>
      </c>
      <c r="E210" s="14" t="s">
        <v>145</v>
      </c>
      <c r="F210" s="78" t="e">
        <f>C210-F207*(C210-I198)/F206</f>
        <v>#VALUE!</v>
      </c>
      <c r="H210" s="14" t="s">
        <v>272</v>
      </c>
      <c r="I210" s="78" t="e">
        <f>F210-I207*(F210-I200)/I206</f>
        <v>#VALUE!</v>
      </c>
      <c r="K210" s="14"/>
      <c r="L210" s="78"/>
    </row>
    <row r="211" spans="2:12" ht="12.75">
      <c r="B211" s="14" t="s">
        <v>146</v>
      </c>
      <c r="C211" s="125">
        <f>G194+G196</f>
        <v>0.5085058531471716</v>
      </c>
      <c r="E211" s="14" t="s">
        <v>274</v>
      </c>
      <c r="F211" s="125" t="e">
        <f>C211+G198</f>
        <v>#VALUE!</v>
      </c>
      <c r="H211" s="14" t="s">
        <v>149</v>
      </c>
      <c r="I211" s="125" t="e">
        <f>F211+G200</f>
        <v>#VALUE!</v>
      </c>
      <c r="K211" s="14"/>
      <c r="L211" s="125"/>
    </row>
    <row r="214" ht="12.75">
      <c r="B214" s="68" t="s">
        <v>283</v>
      </c>
    </row>
    <row r="215" ht="13.5" thickBot="1"/>
    <row r="216" spans="2:9" ht="12.75">
      <c r="B216" s="188" t="s">
        <v>108</v>
      </c>
      <c r="C216" s="189" t="s">
        <v>105</v>
      </c>
      <c r="D216" s="190" t="s">
        <v>111</v>
      </c>
      <c r="E216" s="190" t="s">
        <v>125</v>
      </c>
      <c r="F216" s="189" t="s">
        <v>119</v>
      </c>
      <c r="G216" s="189" t="s">
        <v>122</v>
      </c>
      <c r="H216" s="189" t="s">
        <v>128</v>
      </c>
      <c r="I216" s="191" t="s">
        <v>129</v>
      </c>
    </row>
    <row r="217" spans="2:9" ht="12.75">
      <c r="B217" s="192"/>
      <c r="C217" s="134">
        <f>IF(($D$50-$S$50)&lt;0,$S$50-$D$50,$D$50-$S$50)</f>
        <v>132.89162929983632</v>
      </c>
      <c r="D217" s="134">
        <f>IF(C217&gt;180,360-C217,C217)</f>
        <v>132.89162929983632</v>
      </c>
      <c r="E217" s="135">
        <f>IF(D217&gt;90,180-D217,D217)</f>
        <v>47.108370700163675</v>
      </c>
      <c r="F217" s="136">
        <f>SQRT(2*C227^2/(SIN(RADIANS(E217)))^2+C228^2/(COS(RADIANS(E217/2)))^2)</f>
        <v>2.0244299661361524</v>
      </c>
      <c r="G217" s="136">
        <f>1/F217^2</f>
        <v>0.24400261770381634</v>
      </c>
      <c r="H217" s="137">
        <f>($J$136-$D$136)/($D$135-$J$135)</f>
        <v>5.645177139114038</v>
      </c>
      <c r="I217" s="193">
        <f>$D$135*H217+$D$136</f>
        <v>3.0490312593855267</v>
      </c>
    </row>
    <row r="218" spans="2:9" ht="12.75">
      <c r="B218" s="194" t="s">
        <v>109</v>
      </c>
      <c r="C218" s="127" t="s">
        <v>106</v>
      </c>
      <c r="D218" s="128" t="s">
        <v>112</v>
      </c>
      <c r="E218" s="128" t="s">
        <v>126</v>
      </c>
      <c r="F218" s="127" t="s">
        <v>121</v>
      </c>
      <c r="G218" s="127" t="s">
        <v>123</v>
      </c>
      <c r="H218" s="127" t="s">
        <v>130</v>
      </c>
      <c r="I218" s="195" t="s">
        <v>132</v>
      </c>
    </row>
    <row r="219" spans="2:9" ht="12.75">
      <c r="B219" s="192"/>
      <c r="C219" s="134">
        <f>IF(($S$50-$AH$50)&lt;0,$AH$50-$S$50,$S$50-$AH$50)</f>
        <v>279.75102484989065</v>
      </c>
      <c r="D219" s="134">
        <f>IF(C219&gt;180,360-C219,C219)</f>
        <v>80.24897515010935</v>
      </c>
      <c r="E219" s="135">
        <f>IF(D219&gt;90,180-D219,D219)</f>
        <v>80.24897515010935</v>
      </c>
      <c r="F219" s="136">
        <f>SQRT(2*C227^2/(SIN(RADIANS(E219)))^2+C228^2/(COS(RADIANS(E219/2)))^2)</f>
        <v>1.9443950447809337</v>
      </c>
      <c r="G219" s="136">
        <f>1/F219^2</f>
        <v>0.2645032354433552</v>
      </c>
      <c r="H219" s="137">
        <f>($P$136-$J$136)/($J$135-$P$135)</f>
        <v>3.340369284593108</v>
      </c>
      <c r="I219" s="193">
        <f>$J$135*H219+$J$136</f>
        <v>3.0168996230604073</v>
      </c>
    </row>
    <row r="220" spans="2:9" ht="12.75">
      <c r="B220" s="194" t="s">
        <v>252</v>
      </c>
      <c r="C220" s="127" t="s">
        <v>254</v>
      </c>
      <c r="D220" s="128" t="s">
        <v>113</v>
      </c>
      <c r="E220" s="128" t="s">
        <v>127</v>
      </c>
      <c r="F220" s="127" t="s">
        <v>120</v>
      </c>
      <c r="G220" s="127" t="s">
        <v>124</v>
      </c>
      <c r="H220" s="127" t="s">
        <v>131</v>
      </c>
      <c r="I220" s="195" t="s">
        <v>133</v>
      </c>
    </row>
    <row r="221" spans="2:9" ht="12.75">
      <c r="B221" s="192"/>
      <c r="C221" s="134" t="e">
        <f>IF(($AH$50-$AW$50)&lt;0,$AW$50-$AH$50,$AH$50-$AW$50)</f>
        <v>#VALUE!</v>
      </c>
      <c r="D221" s="134" t="e">
        <f>IF(C221&gt;180,360-C221,C221)</f>
        <v>#VALUE!</v>
      </c>
      <c r="E221" s="135" t="e">
        <f>IF(D221&gt;90,180-D221,D221)</f>
        <v>#VALUE!</v>
      </c>
      <c r="F221" s="136" t="e">
        <f>SQRT(2*C227^2/(SIN(RADIANS(E221)))^2+C228^2/(COS(RADIANS(E221/2)))^2)</f>
        <v>#VALUE!</v>
      </c>
      <c r="G221" s="136" t="e">
        <f>1/F221^2</f>
        <v>#VALUE!</v>
      </c>
      <c r="H221" s="137" t="e">
        <f>($V$136-$P$136)/($P$135-$V$135)</f>
        <v>#VALUE!</v>
      </c>
      <c r="I221" s="193" t="e">
        <f>$P$135*H221+$P$136</f>
        <v>#VALUE!</v>
      </c>
    </row>
    <row r="222" spans="2:9" ht="12.75">
      <c r="B222" s="194" t="s">
        <v>253</v>
      </c>
      <c r="C222" s="127" t="s">
        <v>255</v>
      </c>
      <c r="D222" s="128" t="s">
        <v>257</v>
      </c>
      <c r="E222" s="128" t="s">
        <v>258</v>
      </c>
      <c r="F222" s="127" t="s">
        <v>260</v>
      </c>
      <c r="G222" s="127" t="s">
        <v>262</v>
      </c>
      <c r="H222" s="127" t="s">
        <v>264</v>
      </c>
      <c r="I222" s="195" t="s">
        <v>266</v>
      </c>
    </row>
    <row r="223" spans="2:9" ht="12.75">
      <c r="B223" s="192"/>
      <c r="C223" s="134" t="e">
        <f>IF(($AW$50-$BL$50)&lt;0,$BL$50-$AW$50,$AW$50-$BL$50)</f>
        <v>#VALUE!</v>
      </c>
      <c r="D223" s="134" t="e">
        <f>IF(C223&gt;180,360-C223,C223)</f>
        <v>#VALUE!</v>
      </c>
      <c r="E223" s="135" t="e">
        <f>IF(D223&gt;90,180-D223,D223)</f>
        <v>#VALUE!</v>
      </c>
      <c r="F223" s="136" t="e">
        <f>SQRT(2*C227^2/(SIN(RADIANS(E223)))^2+C228^2/(COS(RADIANS(E223/2)))^2)</f>
        <v>#VALUE!</v>
      </c>
      <c r="G223" s="136" t="e">
        <f>1/F223^2</f>
        <v>#VALUE!</v>
      </c>
      <c r="H223" s="137" t="e">
        <f>($AB$136-$V$136)/($V$135-$AB$135)</f>
        <v>#VALUE!</v>
      </c>
      <c r="I223" s="193" t="e">
        <f>$V$135*H223+$V$136</f>
        <v>#VALUE!</v>
      </c>
    </row>
    <row r="224" spans="2:9" ht="12.75">
      <c r="B224" s="194" t="s">
        <v>268</v>
      </c>
      <c r="C224" s="127" t="s">
        <v>287</v>
      </c>
      <c r="D224" s="128" t="s">
        <v>256</v>
      </c>
      <c r="E224" s="128" t="s">
        <v>259</v>
      </c>
      <c r="F224" s="127" t="s">
        <v>261</v>
      </c>
      <c r="G224" s="127" t="s">
        <v>263</v>
      </c>
      <c r="H224" s="127" t="s">
        <v>265</v>
      </c>
      <c r="I224" s="195" t="s">
        <v>267</v>
      </c>
    </row>
    <row r="225" spans="2:9" ht="13.5" thickBot="1">
      <c r="B225" s="196"/>
      <c r="C225" s="197" t="e">
        <f>IF(($D$50-$BL$50)&lt;0,$BL$50-$D$50,$D$50-$BL$50)</f>
        <v>#VALUE!</v>
      </c>
      <c r="D225" s="197" t="e">
        <f>IF(C225&gt;180,360-C225,C225)</f>
        <v>#VALUE!</v>
      </c>
      <c r="E225" s="198" t="e">
        <f>IF(D225&gt;90,180-D225,D225)</f>
        <v>#VALUE!</v>
      </c>
      <c r="F225" s="199" t="e">
        <f>SQRT(2*C227^2/(SIN(RADIANS(E225)))^2+C228^2/(COS(RADIANS(E225/2)))^2)</f>
        <v>#VALUE!</v>
      </c>
      <c r="G225" s="199" t="e">
        <f>1/F225^2</f>
        <v>#VALUE!</v>
      </c>
      <c r="H225" s="200" t="e">
        <f>($AB$136-$D$136)/($D$135-$AB$135)</f>
        <v>#VALUE!</v>
      </c>
      <c r="I225" s="201" t="e">
        <f>$D$135*H225+$D$136</f>
        <v>#VALUE!</v>
      </c>
    </row>
    <row r="226" spans="2:9" ht="12.75">
      <c r="B226" s="26"/>
      <c r="C226" s="123"/>
      <c r="D226" s="123"/>
      <c r="E226" s="124"/>
      <c r="F226" s="130"/>
      <c r="G226" s="130"/>
      <c r="H226" s="131"/>
      <c r="I226" s="187"/>
    </row>
    <row r="227" spans="2:9" ht="12.75">
      <c r="B227" s="94" t="s">
        <v>114</v>
      </c>
      <c r="C227" s="121">
        <v>0.8</v>
      </c>
      <c r="D227" s="123"/>
      <c r="E227" s="124"/>
      <c r="F227" s="130"/>
      <c r="G227" s="130"/>
      <c r="H227" s="131"/>
      <c r="I227" s="187"/>
    </row>
    <row r="228" spans="2:9" ht="12.75">
      <c r="B228" s="94" t="s">
        <v>117</v>
      </c>
      <c r="C228" s="121">
        <v>1.2</v>
      </c>
      <c r="D228" s="123"/>
      <c r="E228" s="124"/>
      <c r="F228" s="130"/>
      <c r="G228" s="130"/>
      <c r="H228" s="131"/>
      <c r="I228" s="187"/>
    </row>
    <row r="229" spans="2:9" ht="12.75">
      <c r="B229" s="26"/>
      <c r="C229" s="123"/>
      <c r="D229" s="123"/>
      <c r="E229" s="124"/>
      <c r="F229" s="130"/>
      <c r="G229" s="130"/>
      <c r="H229" s="131"/>
      <c r="I229" s="187"/>
    </row>
    <row r="230" spans="2:11" ht="12.75">
      <c r="B230" s="83" t="s">
        <v>137</v>
      </c>
      <c r="E230" s="83" t="s">
        <v>140</v>
      </c>
      <c r="H230" s="83" t="s">
        <v>269</v>
      </c>
      <c r="K230" s="83" t="s">
        <v>275</v>
      </c>
    </row>
    <row r="231" spans="2:12" ht="12.75">
      <c r="B231" s="14" t="s">
        <v>134</v>
      </c>
      <c r="C231" s="120">
        <f>SQRT((H217-H219)^2+(I217-I219)^2)</f>
        <v>2.3050318193713295</v>
      </c>
      <c r="E231" s="14" t="s">
        <v>142</v>
      </c>
      <c r="F231" s="120" t="e">
        <f>SQRT((C234-H221)^2+(C235-I221)^2)</f>
        <v>#VALUE!</v>
      </c>
      <c r="H231" s="14" t="s">
        <v>277</v>
      </c>
      <c r="I231" s="120" t="e">
        <f>SQRT((F234-H223)^2+(F235-I223)^2)</f>
        <v>#VALUE!</v>
      </c>
      <c r="K231" s="14" t="s">
        <v>276</v>
      </c>
      <c r="L231" s="120" t="e">
        <f>SQRT((I234-H225)^2+(I235-I225)^2)</f>
        <v>#VALUE!</v>
      </c>
    </row>
    <row r="232" spans="2:12" ht="12.75">
      <c r="B232" s="14" t="s">
        <v>135</v>
      </c>
      <c r="C232" s="120">
        <f>G219*C231/(G217+G219)</f>
        <v>1.1989800515573306</v>
      </c>
      <c r="E232" s="14" t="s">
        <v>141</v>
      </c>
      <c r="F232" s="120" t="e">
        <f>G221*F231/(G221+C236)</f>
        <v>#VALUE!</v>
      </c>
      <c r="H232" s="14" t="s">
        <v>270</v>
      </c>
      <c r="I232" s="120" t="e">
        <f>G223*I231/(G223+F236)</f>
        <v>#VALUE!</v>
      </c>
      <c r="K232" s="14" t="s">
        <v>279</v>
      </c>
      <c r="L232" s="120" t="e">
        <f>G225*L231/(G225+I236)</f>
        <v>#VALUE!</v>
      </c>
    </row>
    <row r="233" spans="2:12" ht="12.75">
      <c r="B233" s="14" t="s">
        <v>136</v>
      </c>
      <c r="C233" s="120">
        <f>C231-C232</f>
        <v>1.106051767813999</v>
      </c>
      <c r="E233" s="14" t="s">
        <v>143</v>
      </c>
      <c r="F233" s="120" t="e">
        <f>F231-F232</f>
        <v>#VALUE!</v>
      </c>
      <c r="H233" s="14" t="s">
        <v>278</v>
      </c>
      <c r="I233" s="120" t="e">
        <f>I231-I232</f>
        <v>#VALUE!</v>
      </c>
      <c r="K233" s="14" t="s">
        <v>280</v>
      </c>
      <c r="L233" s="120" t="e">
        <f>L231-L232</f>
        <v>#VALUE!</v>
      </c>
    </row>
    <row r="234" spans="2:12" ht="12.75">
      <c r="B234" s="14" t="s">
        <v>138</v>
      </c>
      <c r="C234" s="78">
        <f>H217-C232*(H217-H219)/C231</f>
        <v>4.4463135845983635</v>
      </c>
      <c r="E234" s="14" t="s">
        <v>144</v>
      </c>
      <c r="F234" s="78" t="e">
        <f>C234-F232*(C234-H221)/F231</f>
        <v>#VALUE!</v>
      </c>
      <c r="H234" s="14" t="s">
        <v>271</v>
      </c>
      <c r="I234" s="78" t="e">
        <f>F234-I232*(F234-H223)/I231</f>
        <v>#VALUE!</v>
      </c>
      <c r="K234" s="14" t="s">
        <v>281</v>
      </c>
      <c r="L234" s="78" t="e">
        <f>I234-L232*(I234-H225)/L231</f>
        <v>#VALUE!</v>
      </c>
    </row>
    <row r="235" spans="2:12" ht="12.75">
      <c r="B235" s="14" t="s">
        <v>139</v>
      </c>
      <c r="C235" s="78">
        <f>I217-C232*(I217-I219)/C231</f>
        <v>3.0323177413100058</v>
      </c>
      <c r="E235" s="14" t="s">
        <v>145</v>
      </c>
      <c r="F235" s="78" t="e">
        <f>C235-F232*(C235-I221)/F231</f>
        <v>#VALUE!</v>
      </c>
      <c r="H235" s="14" t="s">
        <v>272</v>
      </c>
      <c r="I235" s="78" t="e">
        <f>F235-I232*(F235-I223)/I231</f>
        <v>#VALUE!</v>
      </c>
      <c r="K235" s="14" t="s">
        <v>282</v>
      </c>
      <c r="L235" s="78" t="e">
        <f>I235-L232*(I235-I225)/L231</f>
        <v>#VALUE!</v>
      </c>
    </row>
    <row r="236" spans="2:12" ht="12.75">
      <c r="B236" s="14" t="s">
        <v>146</v>
      </c>
      <c r="C236" s="125">
        <f>G217+G219</f>
        <v>0.5085058531471716</v>
      </c>
      <c r="E236" s="14" t="s">
        <v>274</v>
      </c>
      <c r="F236" s="125" t="e">
        <f>C236+G221</f>
        <v>#VALUE!</v>
      </c>
      <c r="H236" s="14" t="s">
        <v>149</v>
      </c>
      <c r="I236" s="125" t="e">
        <f>F236+G223</f>
        <v>#VALUE!</v>
      </c>
      <c r="K236" s="14" t="s">
        <v>273</v>
      </c>
      <c r="L236" s="125" t="e">
        <f>I236+G225</f>
        <v>#VALUE!</v>
      </c>
    </row>
    <row r="241" spans="4:8" ht="12.75">
      <c r="D241" s="94" t="s">
        <v>101</v>
      </c>
      <c r="E241" t="e">
        <f>AH54+F234*COS(RADIANS(SIGN($AH$54)*$AH$54))/60</f>
        <v>#VALUE!</v>
      </c>
      <c r="F241" s="117" t="e">
        <f>INT(SIGN($E$241)*$E$241)</f>
        <v>#VALUE!</v>
      </c>
      <c r="G241" s="59" t="e">
        <f>(SIGN($E$241)*$E$241-INT(SIGN($E$241)*$E$241))*60</f>
        <v>#VALUE!</v>
      </c>
      <c r="H241" t="e">
        <f>IF($E$241&gt;=0,"N","S")</f>
        <v>#VALUE!</v>
      </c>
    </row>
    <row r="242" spans="4:8" ht="12.75">
      <c r="D242" s="94" t="s">
        <v>100</v>
      </c>
      <c r="E242" s="126" t="e">
        <f>AH55+F235/60</f>
        <v>#VALUE!</v>
      </c>
      <c r="F242" s="117" t="e">
        <f>INT(SIGN($E$242)*$E$242)</f>
        <v>#VALUE!</v>
      </c>
      <c r="G242" s="59" t="e">
        <f>(SIGN($E$242)*$E$242-INT(SIGN($E$242)*$E$242))*60</f>
        <v>#VALUE!</v>
      </c>
      <c r="H242" t="e">
        <f>IF($E$242&gt;=0,"E","W")</f>
        <v>#VALUE!</v>
      </c>
    </row>
    <row r="244" ht="12.75">
      <c r="B244" s="68" t="s">
        <v>150</v>
      </c>
    </row>
    <row r="246" spans="2:3" ht="12.75">
      <c r="B246" s="77" t="s">
        <v>151</v>
      </c>
      <c r="C246" t="e">
        <f>IF($AH$25=0,C167,F234)</f>
        <v>#VALUE!</v>
      </c>
    </row>
    <row r="247" spans="2:3" ht="12.75">
      <c r="B247" s="77" t="s">
        <v>152</v>
      </c>
      <c r="C247" t="e">
        <f>IF($AH$25=0,C168,F235)</f>
        <v>#VALUE!</v>
      </c>
    </row>
  </sheetData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Astronomy</dc:title>
  <dc:subject/>
  <dc:creator>Nick Makhaev</dc:creator>
  <cp:keywords/>
  <dc:description/>
  <cp:lastModifiedBy>Олег</cp:lastModifiedBy>
  <cp:lastPrinted>2000-09-22T19:49:37Z</cp:lastPrinted>
  <dcterms:created xsi:type="dcterms:W3CDTF">1998-02-14T13:55:21Z</dcterms:created>
  <dcterms:modified xsi:type="dcterms:W3CDTF">2006-08-05T15:21:06Z</dcterms:modified>
  <cp:category/>
  <cp:version/>
  <cp:contentType/>
  <cp:contentStatus/>
</cp:coreProperties>
</file>