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4060" windowHeight="4980" activeTab="1"/>
  </bookViews>
  <sheets>
    <sheet name="Data" sheetId="1" r:id="rId1"/>
    <sheet name="VLP" sheetId="2" r:id="rId2"/>
    <sheet name="Tables" sheetId="3" state="hidden" r:id="rId3"/>
  </sheets>
  <definedNames>
    <definedName name="_xlnm.Print_Area" localSheetId="1">'VLP'!$A$1:$U$137</definedName>
  </definedNames>
  <calcPr fullCalcOnLoad="1"/>
</workbook>
</file>

<file path=xl/sharedStrings.xml><?xml version="1.0" encoding="utf-8"?>
<sst xmlns="http://schemas.openxmlformats.org/spreadsheetml/2006/main" count="501" uniqueCount="111">
  <si>
    <t>Tгр</t>
  </si>
  <si>
    <t>j</t>
  </si>
  <si>
    <t>l</t>
  </si>
  <si>
    <t>Date</t>
  </si>
  <si>
    <t>ОС</t>
  </si>
  <si>
    <t>'</t>
  </si>
  <si>
    <t>N</t>
  </si>
  <si>
    <t>W</t>
  </si>
  <si>
    <t>UTC</t>
  </si>
  <si>
    <t>d</t>
  </si>
  <si>
    <t>Dd</t>
  </si>
  <si>
    <t>i</t>
  </si>
  <si>
    <t>hd</t>
  </si>
  <si>
    <t>e</t>
  </si>
  <si>
    <t>m</t>
  </si>
  <si>
    <t>s</t>
  </si>
  <si>
    <t>ho</t>
  </si>
  <si>
    <t>hт</t>
  </si>
  <si>
    <t>Dj</t>
  </si>
  <si>
    <t>DT</t>
  </si>
  <si>
    <t>hc</t>
  </si>
  <si>
    <t>Aт</t>
  </si>
  <si>
    <t>Ас</t>
  </si>
  <si>
    <t>q</t>
  </si>
  <si>
    <t>n</t>
  </si>
  <si>
    <t>Date:</t>
  </si>
  <si>
    <t>UTC:</t>
  </si>
  <si>
    <t>OC</t>
  </si>
  <si>
    <t>t</t>
  </si>
  <si>
    <t>B</t>
  </si>
  <si>
    <t>Из "МАЕ" на Гринвические дату и время</t>
  </si>
  <si>
    <t>Данные для расчета первой Высотной Линии Положения</t>
  </si>
  <si>
    <t>после символа, а минуты с десятыми в следующую!</t>
  </si>
  <si>
    <t xml:space="preserve">Градусы и минуты любых значений нужно вводить в разные ячейки: градусы в первую ячейку </t>
  </si>
  <si>
    <t>Данные для расчета второй Высотной Линии Положения</t>
  </si>
  <si>
    <t>º</t>
  </si>
  <si>
    <t>После ввода данных перейдите на страницу "VLP" и нажмите на "Печать"</t>
  </si>
  <si>
    <t>ОТШ</t>
  </si>
  <si>
    <t>РШ</t>
  </si>
  <si>
    <t>c</t>
  </si>
  <si>
    <t>Deviation</t>
  </si>
  <si>
    <t>-</t>
  </si>
  <si>
    <t>C</t>
  </si>
  <si>
    <t>ht,B</t>
  </si>
  <si>
    <t>Из "МАЕ" по высоте светила выбирите</t>
  </si>
  <si>
    <r>
      <t xml:space="preserve">поправку за температуру </t>
    </r>
    <r>
      <rPr>
        <b/>
        <sz val="11"/>
        <rFont val="Times New Roman Cyr"/>
        <family val="1"/>
      </rPr>
      <t>t</t>
    </r>
    <r>
      <rPr>
        <sz val="11"/>
        <rFont val="Times New Roman Cyr"/>
        <family val="1"/>
      </rPr>
      <t xml:space="preserve"> и давление </t>
    </r>
    <r>
      <rPr>
        <b/>
        <sz val="11"/>
        <rFont val="Times New Roman Cyr"/>
        <family val="1"/>
      </rPr>
      <t>B</t>
    </r>
    <r>
      <rPr>
        <sz val="11"/>
        <rFont val="Times New Roman Cyr"/>
        <family val="1"/>
      </rPr>
      <t xml:space="preserve"> </t>
    </r>
  </si>
  <si>
    <t>n1</t>
  </si>
  <si>
    <t>n2</t>
  </si>
  <si>
    <t>A1</t>
  </si>
  <si>
    <t>A2</t>
  </si>
  <si>
    <t>ИК</t>
  </si>
  <si>
    <t>V</t>
  </si>
  <si>
    <t>уз</t>
  </si>
  <si>
    <r>
      <t>D</t>
    </r>
    <r>
      <rPr>
        <b/>
        <sz val="12"/>
        <rFont val="Times New Roman"/>
        <family val="1"/>
      </rPr>
      <t>t</t>
    </r>
    <r>
      <rPr>
        <b/>
        <sz val="12"/>
        <rFont val="Symbol"/>
        <family val="1"/>
      </rPr>
      <t>g</t>
    </r>
  </si>
  <si>
    <r>
      <t>tт</t>
    </r>
    <r>
      <rPr>
        <b/>
        <sz val="12"/>
        <rFont val="Symbol"/>
        <family val="1"/>
      </rPr>
      <t>g</t>
    </r>
  </si>
  <si>
    <t>Из приложения "Звезды" по данной дате</t>
  </si>
  <si>
    <r>
      <t xml:space="preserve">выбирите часовой угол Овна  " </t>
    </r>
    <r>
      <rPr>
        <b/>
        <sz val="11"/>
        <rFont val="Times New Roman Cyr"/>
        <family val="1"/>
      </rPr>
      <t>tт</t>
    </r>
    <r>
      <rPr>
        <b/>
        <sz val="11"/>
        <rFont val="Symbol"/>
        <family val="1"/>
      </rPr>
      <t>g</t>
    </r>
    <r>
      <rPr>
        <sz val="11"/>
        <rFont val="Times New Roman Cyr"/>
        <family val="1"/>
      </rPr>
      <t xml:space="preserve"> "</t>
    </r>
  </si>
  <si>
    <r>
      <t xml:space="preserve"> с поправкой "</t>
    </r>
    <r>
      <rPr>
        <sz val="11"/>
        <rFont val="Symbol"/>
        <family val="1"/>
      </rPr>
      <t xml:space="preserve"> </t>
    </r>
    <r>
      <rPr>
        <b/>
        <sz val="11"/>
        <rFont val="Symbol"/>
        <family val="1"/>
      </rPr>
      <t>D</t>
    </r>
    <r>
      <rPr>
        <b/>
        <sz val="11"/>
        <rFont val="Times New Roman"/>
        <family val="1"/>
      </rPr>
      <t>t</t>
    </r>
    <r>
      <rPr>
        <b/>
        <sz val="11"/>
        <rFont val="Symbol"/>
        <family val="1"/>
      </rPr>
      <t>g</t>
    </r>
    <r>
      <rPr>
        <sz val="11"/>
        <rFont val="Times New Roman Cyr"/>
        <family val="1"/>
      </rPr>
      <t xml:space="preserve"> ".</t>
    </r>
  </si>
  <si>
    <r>
      <t>дополнение "</t>
    </r>
    <r>
      <rPr>
        <b/>
        <sz val="11"/>
        <rFont val="Symbol"/>
        <family val="1"/>
      </rPr>
      <t>t</t>
    </r>
    <r>
      <rPr>
        <sz val="11"/>
        <rFont val="Times New Roman Cyr"/>
        <family val="1"/>
      </rPr>
      <t>"</t>
    </r>
  </si>
  <si>
    <r>
      <t>выбирите склонение звезды "</t>
    </r>
    <r>
      <rPr>
        <b/>
        <sz val="11"/>
        <rFont val="Symbol"/>
        <family val="1"/>
      </rPr>
      <t>d</t>
    </r>
    <r>
      <rPr>
        <sz val="11"/>
        <rFont val="Times New Roman Cyr"/>
        <family val="1"/>
      </rPr>
      <t>" и звездное</t>
    </r>
  </si>
  <si>
    <t>mm</t>
  </si>
  <si>
    <r>
      <t>t гр</t>
    </r>
    <r>
      <rPr>
        <b/>
        <sz val="12"/>
        <rFont val="Symbol"/>
        <family val="1"/>
      </rPr>
      <t>g</t>
    </r>
  </si>
  <si>
    <r>
      <t>tм</t>
    </r>
    <r>
      <rPr>
        <b/>
        <sz val="12"/>
        <rFont val="Symbol"/>
        <family val="1"/>
      </rPr>
      <t>g</t>
    </r>
  </si>
  <si>
    <t>tm</t>
  </si>
  <si>
    <r>
      <t>h</t>
    </r>
    <r>
      <rPr>
        <b/>
        <sz val="12"/>
        <rFont val="Symbol"/>
        <family val="1"/>
      </rPr>
      <t>r</t>
    </r>
  </si>
  <si>
    <t>ho'</t>
  </si>
  <si>
    <r>
      <t>D</t>
    </r>
    <r>
      <rPr>
        <b/>
        <sz val="12"/>
        <rFont val="Times New Roman Cyr"/>
        <family val="1"/>
      </rPr>
      <t>hz</t>
    </r>
  </si>
  <si>
    <r>
      <t>h</t>
    </r>
    <r>
      <rPr>
        <b/>
        <sz val="12"/>
        <rFont val="Symbol"/>
        <family val="1"/>
      </rPr>
      <t>r1</t>
    </r>
  </si>
  <si>
    <r>
      <t>h</t>
    </r>
    <r>
      <rPr>
        <b/>
        <sz val="12"/>
        <rFont val="Symbol"/>
        <family val="1"/>
      </rPr>
      <t>r2</t>
    </r>
  </si>
  <si>
    <t>nm</t>
  </si>
  <si>
    <r>
      <t>j1</t>
    </r>
    <r>
      <rPr>
        <b/>
        <sz val="12"/>
        <rFont val="Times New Roman Cyr"/>
        <family val="1"/>
      </rPr>
      <t>'</t>
    </r>
  </si>
  <si>
    <r>
      <t>d1</t>
    </r>
    <r>
      <rPr>
        <b/>
        <sz val="12"/>
        <rFont val="Times New Roman Cyr"/>
        <family val="1"/>
      </rPr>
      <t>'</t>
    </r>
  </si>
  <si>
    <r>
      <t>j2</t>
    </r>
    <r>
      <rPr>
        <b/>
        <sz val="12"/>
        <rFont val="Times New Roman Cyr"/>
        <family val="1"/>
      </rPr>
      <t>'</t>
    </r>
  </si>
  <si>
    <r>
      <t>d2</t>
    </r>
    <r>
      <rPr>
        <b/>
        <sz val="12"/>
        <rFont val="Times New Roman Cyr"/>
        <family val="1"/>
      </rPr>
      <t>'</t>
    </r>
  </si>
  <si>
    <t>hт1'</t>
  </si>
  <si>
    <t>hт2'</t>
  </si>
  <si>
    <t>Aт1'</t>
  </si>
  <si>
    <t>q1'</t>
  </si>
  <si>
    <t>Aт2'</t>
  </si>
  <si>
    <t>q2'</t>
  </si>
  <si>
    <t>a</t>
  </si>
  <si>
    <t>Star sighted</t>
  </si>
  <si>
    <t>Данные для расчета третьей Высотной Линии Положения</t>
  </si>
  <si>
    <r>
      <t>h</t>
    </r>
    <r>
      <rPr>
        <b/>
        <sz val="12"/>
        <rFont val="Symbol"/>
        <family val="1"/>
      </rPr>
      <t>r3</t>
    </r>
  </si>
  <si>
    <t>A3</t>
  </si>
  <si>
    <t>n3</t>
  </si>
  <si>
    <r>
      <t>D</t>
    </r>
    <r>
      <rPr>
        <b/>
        <sz val="12"/>
        <rFont val="Times New Roman"/>
        <family val="1"/>
      </rPr>
      <t>T1</t>
    </r>
  </si>
  <si>
    <r>
      <t>D</t>
    </r>
    <r>
      <rPr>
        <b/>
        <sz val="12"/>
        <rFont val="Times New Roman Cyr"/>
        <family val="1"/>
      </rPr>
      <t>hz1</t>
    </r>
  </si>
  <si>
    <r>
      <t>j3</t>
    </r>
    <r>
      <rPr>
        <b/>
        <sz val="12"/>
        <rFont val="Times New Roman Cyr"/>
        <family val="1"/>
      </rPr>
      <t>'</t>
    </r>
  </si>
  <si>
    <r>
      <t>d3</t>
    </r>
    <r>
      <rPr>
        <b/>
        <sz val="12"/>
        <rFont val="Times New Roman Cyr"/>
        <family val="1"/>
      </rPr>
      <t>'</t>
    </r>
  </si>
  <si>
    <t>hт3'</t>
  </si>
  <si>
    <t>Aт3'</t>
  </si>
  <si>
    <t>q3'</t>
  </si>
  <si>
    <r>
      <t>D</t>
    </r>
    <r>
      <rPr>
        <b/>
        <sz val="12"/>
        <rFont val="Times New Roman"/>
        <family val="1"/>
      </rPr>
      <t>T2</t>
    </r>
  </si>
  <si>
    <r>
      <t>D</t>
    </r>
    <r>
      <rPr>
        <b/>
        <sz val="12"/>
        <rFont val="Times New Roman Cyr"/>
        <family val="1"/>
      </rPr>
      <t>hz2</t>
    </r>
  </si>
  <si>
    <t>m1</t>
  </si>
  <si>
    <t>m2</t>
  </si>
  <si>
    <r>
      <t>t</t>
    </r>
    <r>
      <rPr>
        <b/>
        <sz val="12"/>
        <rFont val="Times New Roman Cyr"/>
        <family val="1"/>
      </rPr>
      <t>1</t>
    </r>
  </si>
  <si>
    <r>
      <t>t</t>
    </r>
    <r>
      <rPr>
        <b/>
        <sz val="12"/>
        <rFont val="Times New Roman Cyr"/>
        <family val="1"/>
      </rPr>
      <t>2</t>
    </r>
  </si>
  <si>
    <t xml:space="preserve">First Sight for Ship Position Observation   </t>
  </si>
  <si>
    <t xml:space="preserve">Second Sight for Ship Position Observation   </t>
  </si>
  <si>
    <t xml:space="preserve">Third Sight for Ship Position Observation   </t>
  </si>
  <si>
    <t>Fixed Position</t>
  </si>
  <si>
    <t>S</t>
  </si>
  <si>
    <t>Ввод данных для расчета места судна по ВЛП трех звезд</t>
  </si>
  <si>
    <t>Polaris</t>
  </si>
  <si>
    <t>Ursa Minoris</t>
  </si>
  <si>
    <t>Orionis</t>
  </si>
  <si>
    <t>Virginis</t>
  </si>
  <si>
    <t>Spica</t>
  </si>
  <si>
    <t>Betelgeuse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</si>
</sst>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E+00;\ᝤ"/>
    <numFmt numFmtId="182" formatCode="0.0E+00;\᝘"/>
    <numFmt numFmtId="183" formatCode="0E+00;\᝘"/>
    <numFmt numFmtId="184" formatCode="0.00E+00;\᝘"/>
    <numFmt numFmtId="185" formatCode="0.000E+00;\᝘"/>
    <numFmt numFmtId="186" formatCode="0.0000E+00;\᝘"/>
    <numFmt numFmtId="187" formatCode="d/m"/>
    <numFmt numFmtId="188" formatCode="d\ mmm"/>
    <numFmt numFmtId="189" formatCode="dd\ mmm\ yy"/>
    <numFmt numFmtId="190" formatCode="d\ mmmm\,\ yyyy"/>
    <numFmt numFmtId="191" formatCode="dd\ mmm\ yyyy"/>
    <numFmt numFmtId="192" formatCode="0.000"/>
  </numFmts>
  <fonts count="34">
    <font>
      <sz val="10"/>
      <name val="Arial Cyr"/>
      <family val="0"/>
    </font>
    <font>
      <b/>
      <i/>
      <sz val="12"/>
      <name val="Symbol"/>
      <family val="1"/>
    </font>
    <font>
      <b/>
      <sz val="12"/>
      <name val="Symbol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Arial Cyr"/>
      <family val="2"/>
    </font>
    <font>
      <i/>
      <sz val="10"/>
      <name val="Times New Roman Cyr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b/>
      <sz val="14"/>
      <color indexed="12"/>
      <name val="Arial Cyr"/>
      <family val="2"/>
    </font>
    <font>
      <b/>
      <i/>
      <sz val="12"/>
      <color indexed="10"/>
      <name val="Times New Roman Cyr"/>
      <family val="1"/>
    </font>
    <font>
      <b/>
      <i/>
      <sz val="10"/>
      <color indexed="57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i/>
      <sz val="12"/>
      <color indexed="46"/>
      <name val="Times New Roman Cyr"/>
      <family val="1"/>
    </font>
    <font>
      <b/>
      <sz val="14"/>
      <color indexed="10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0"/>
      <name val="Arial Cyr"/>
      <family val="2"/>
    </font>
    <font>
      <b/>
      <sz val="11"/>
      <name val="Times New Roman Cyr"/>
      <family val="1"/>
    </font>
    <font>
      <i/>
      <sz val="11"/>
      <name val="Times New Roman Cyr"/>
      <family val="1"/>
    </font>
    <font>
      <sz val="11"/>
      <name val="Symbol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1"/>
      <name val="Symbol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b/>
      <i/>
      <sz val="12"/>
      <color indexed="12"/>
      <name val="Symbol"/>
      <family val="1"/>
    </font>
    <font>
      <b/>
      <i/>
      <sz val="10"/>
      <color indexed="12"/>
      <name val="Times New Roman Cyr"/>
      <family val="1"/>
    </font>
    <font>
      <i/>
      <sz val="12"/>
      <name val="Symbol"/>
      <family val="1"/>
    </font>
    <font>
      <i/>
      <sz val="12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hidden="1"/>
    </xf>
    <xf numFmtId="180" fontId="6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 quotePrefix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 quotePrefix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180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4" xfId="0" applyFont="1" applyBorder="1" applyAlignment="1" applyProtection="1">
      <alignment horizontal="right"/>
      <protection hidden="1"/>
    </xf>
    <xf numFmtId="180" fontId="7" fillId="0" borderId="0" xfId="0" applyNumberFormat="1" applyFont="1" applyAlignment="1" applyProtection="1">
      <alignment horizontal="right"/>
      <protection hidden="1"/>
    </xf>
    <xf numFmtId="0" fontId="3" fillId="0" borderId="4" xfId="0" applyFont="1" applyBorder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83" fontId="4" fillId="0" borderId="0" xfId="0" applyNumberFormat="1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190" fontId="0" fillId="0" borderId="0" xfId="0" applyNumberFormat="1" applyAlignment="1" applyProtection="1">
      <alignment horizontal="center"/>
      <protection hidden="1"/>
    </xf>
    <xf numFmtId="2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 quotePrefix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4" fillId="0" borderId="6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4" fillId="0" borderId="1" xfId="0" applyFont="1" applyBorder="1" applyAlignment="1" applyProtection="1">
      <alignment/>
      <protection hidden="1"/>
    </xf>
    <xf numFmtId="0" fontId="24" fillId="0" borderId="4" xfId="0" applyFont="1" applyBorder="1" applyAlignment="1" applyProtection="1">
      <alignment/>
      <protection hidden="1"/>
    </xf>
    <xf numFmtId="0" fontId="24" fillId="0" borderId="7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24" fillId="0" borderId="8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180" fontId="6" fillId="0" borderId="5" xfId="0" applyNumberFormat="1" applyFont="1" applyBorder="1" applyAlignment="1" applyProtection="1">
      <alignment/>
      <protection hidden="1"/>
    </xf>
    <xf numFmtId="0" fontId="6" fillId="0" borderId="5" xfId="0" applyFont="1" applyBorder="1" applyAlignment="1" applyProtection="1" quotePrefix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180" fontId="6" fillId="0" borderId="0" xfId="0" applyNumberFormat="1" applyFont="1" applyAlignment="1" applyProtection="1">
      <alignment horizontal="right"/>
      <protection hidden="1"/>
    </xf>
    <xf numFmtId="49" fontId="6" fillId="0" borderId="0" xfId="0" applyNumberFormat="1" applyFont="1" applyAlignment="1" applyProtection="1" quotePrefix="1">
      <alignment horizontal="left"/>
      <protection hidden="1"/>
    </xf>
    <xf numFmtId="49" fontId="6" fillId="0" borderId="0" xfId="0" applyNumberFormat="1" applyFont="1" applyAlignment="1" applyProtection="1" quotePrefix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23" fillId="0" borderId="4" xfId="0" applyFont="1" applyBorder="1" applyAlignment="1" applyProtection="1">
      <alignment/>
      <protection hidden="1"/>
    </xf>
    <xf numFmtId="0" fontId="27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 quotePrefix="1">
      <alignment/>
      <protection hidden="1"/>
    </xf>
    <xf numFmtId="180" fontId="6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1" fontId="0" fillId="0" borderId="0" xfId="0" applyNumberFormat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29" fillId="0" borderId="2" xfId="0" applyFont="1" applyBorder="1" applyAlignment="1" applyProtection="1">
      <alignment/>
      <protection hidden="1"/>
    </xf>
    <xf numFmtId="0" fontId="29" fillId="0" borderId="3" xfId="0" applyFont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1" fontId="6" fillId="0" borderId="5" xfId="0" applyNumberFormat="1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180" fontId="0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hidden="1"/>
    </xf>
    <xf numFmtId="180" fontId="0" fillId="0" borderId="5" xfId="0" applyNumberFormat="1" applyFont="1" applyBorder="1" applyAlignment="1" applyProtection="1">
      <alignment/>
      <protection hidden="1"/>
    </xf>
    <xf numFmtId="180" fontId="18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locked="0"/>
    </xf>
    <xf numFmtId="190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hidden="1"/>
    </xf>
    <xf numFmtId="180" fontId="18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180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180" fontId="6" fillId="0" borderId="1" xfId="0" applyNumberFormat="1" applyFont="1" applyBorder="1" applyAlignment="1" applyProtection="1">
      <alignment horizontal="right"/>
      <protection hidden="1"/>
    </xf>
    <xf numFmtId="186" fontId="0" fillId="0" borderId="0" xfId="0" applyNumberFormat="1" applyAlignment="1">
      <alignment horizontal="center"/>
    </xf>
    <xf numFmtId="180" fontId="6" fillId="0" borderId="5" xfId="0" applyNumberFormat="1" applyFont="1" applyBorder="1" applyAlignment="1" applyProtection="1">
      <alignment horizontal="right"/>
      <protection hidden="1"/>
    </xf>
    <xf numFmtId="0" fontId="28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191" fontId="6" fillId="0" borderId="0" xfId="0" applyNumberFormat="1" applyFont="1" applyAlignment="1" applyProtection="1">
      <alignment horizontal="center"/>
      <protection hidden="1"/>
    </xf>
    <xf numFmtId="21" fontId="6" fillId="0" borderId="0" xfId="0" applyNumberFormat="1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4.00390625" style="0" customWidth="1"/>
    <col min="3" max="3" width="6.375" style="0" customWidth="1"/>
    <col min="4" max="4" width="3.125" style="0" customWidth="1"/>
    <col min="6" max="6" width="8.50390625" style="0" customWidth="1"/>
    <col min="7" max="7" width="6.625" style="0" customWidth="1"/>
    <col min="8" max="8" width="4.875" style="0" customWidth="1"/>
    <col min="9" max="9" width="5.625" style="0" customWidth="1"/>
  </cols>
  <sheetData>
    <row r="1" spans="1:13" ht="18">
      <c r="A1" s="34" t="s">
        <v>104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35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0.5" customHeight="1">
      <c r="A3" s="3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3.5">
      <c r="A4" s="36" t="s">
        <v>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3.5">
      <c r="A5" s="36" t="s">
        <v>32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.75">
      <c r="A6" s="37" t="s">
        <v>1</v>
      </c>
      <c r="B6" s="14">
        <v>26</v>
      </c>
      <c r="C6" s="15">
        <v>15.5</v>
      </c>
      <c r="D6" s="14" t="s">
        <v>6</v>
      </c>
      <c r="E6" s="12"/>
      <c r="F6" s="12"/>
      <c r="G6" s="39" t="s">
        <v>25</v>
      </c>
      <c r="H6" s="116">
        <v>36859</v>
      </c>
      <c r="I6" s="116"/>
      <c r="J6" s="116"/>
      <c r="K6" s="43"/>
      <c r="L6" s="12"/>
      <c r="M6" s="12"/>
    </row>
    <row r="7" spans="1:13" ht="15.75">
      <c r="A7" s="37" t="s">
        <v>2</v>
      </c>
      <c r="B7" s="14">
        <v>91</v>
      </c>
      <c r="C7" s="15">
        <v>28.7</v>
      </c>
      <c r="D7" s="14" t="s">
        <v>7</v>
      </c>
      <c r="E7" s="12"/>
      <c r="F7" s="12"/>
      <c r="G7" s="39" t="s">
        <v>26</v>
      </c>
      <c r="H7" s="117">
        <v>0.49887731481481484</v>
      </c>
      <c r="I7" s="117"/>
      <c r="J7" s="117"/>
      <c r="K7" s="44"/>
      <c r="L7" s="12"/>
      <c r="M7" s="12"/>
    </row>
    <row r="8" spans="1:13" ht="15.75">
      <c r="A8" s="38"/>
      <c r="B8" s="12"/>
      <c r="C8" s="12"/>
      <c r="D8" s="12"/>
      <c r="E8" s="12"/>
      <c r="F8" s="12"/>
      <c r="G8" s="40" t="s">
        <v>30</v>
      </c>
      <c r="H8" s="12"/>
      <c r="I8" s="12"/>
      <c r="J8" s="12"/>
      <c r="K8" s="12"/>
      <c r="L8" s="12"/>
      <c r="M8" s="12"/>
    </row>
    <row r="9" spans="1:13" ht="15.75">
      <c r="A9" s="39" t="s">
        <v>27</v>
      </c>
      <c r="B9" s="14">
        <v>32</v>
      </c>
      <c r="C9" s="15">
        <v>56.8</v>
      </c>
      <c r="D9" s="12"/>
      <c r="E9" s="12"/>
      <c r="F9" s="12"/>
      <c r="G9" s="40" t="s">
        <v>56</v>
      </c>
      <c r="H9" s="12"/>
      <c r="I9" s="12"/>
      <c r="J9" s="12"/>
      <c r="K9" s="12"/>
      <c r="L9" s="12"/>
      <c r="M9" s="12"/>
    </row>
    <row r="10" spans="1:13" ht="15.75">
      <c r="A10" s="39" t="s">
        <v>15</v>
      </c>
      <c r="B10" s="5"/>
      <c r="C10" s="15">
        <v>0</v>
      </c>
      <c r="D10" s="12"/>
      <c r="E10" s="12"/>
      <c r="F10" s="12"/>
      <c r="G10" s="40" t="s">
        <v>57</v>
      </c>
      <c r="H10" s="12"/>
      <c r="I10" s="12"/>
      <c r="J10" s="12"/>
      <c r="K10" s="12"/>
      <c r="L10" s="12"/>
      <c r="M10" s="12"/>
    </row>
    <row r="11" spans="1:13" ht="15.75">
      <c r="A11" s="39" t="s">
        <v>11</v>
      </c>
      <c r="B11" s="5"/>
      <c r="C11" s="15">
        <v>3</v>
      </c>
      <c r="D11" s="12"/>
      <c r="E11" s="12"/>
      <c r="F11" s="12"/>
      <c r="G11" s="56" t="s">
        <v>54</v>
      </c>
      <c r="H11" s="14">
        <v>233</v>
      </c>
      <c r="I11" s="15">
        <v>38.1</v>
      </c>
      <c r="J11" s="12"/>
      <c r="K11" s="12"/>
      <c r="L11" s="12"/>
      <c r="M11" s="12"/>
    </row>
    <row r="12" spans="1:13" ht="15.75">
      <c r="A12" s="39" t="s">
        <v>13</v>
      </c>
      <c r="B12" s="5"/>
      <c r="C12" s="15">
        <v>25</v>
      </c>
      <c r="D12" s="12"/>
      <c r="E12" s="12"/>
      <c r="F12" s="12"/>
      <c r="G12" s="42" t="s">
        <v>53</v>
      </c>
      <c r="H12" s="14">
        <v>14</v>
      </c>
      <c r="I12" s="15">
        <v>38.1</v>
      </c>
      <c r="J12" s="12"/>
      <c r="K12" s="12"/>
      <c r="L12" s="12"/>
      <c r="M12" s="12"/>
    </row>
    <row r="13" spans="1:13" ht="15.75">
      <c r="A13" s="39" t="s">
        <v>28</v>
      </c>
      <c r="B13" s="5"/>
      <c r="C13" s="15">
        <v>18</v>
      </c>
      <c r="D13" s="12"/>
      <c r="E13" s="12"/>
      <c r="F13" s="12"/>
      <c r="G13" s="40" t="s">
        <v>55</v>
      </c>
      <c r="H13" s="12"/>
      <c r="I13" s="12"/>
      <c r="J13" s="5"/>
      <c r="K13" s="12"/>
      <c r="L13" s="12"/>
      <c r="M13" s="12"/>
    </row>
    <row r="14" spans="1:13" ht="15.75">
      <c r="A14" s="39" t="s">
        <v>29</v>
      </c>
      <c r="B14" s="5"/>
      <c r="C14" s="14">
        <v>769</v>
      </c>
      <c r="D14" s="55"/>
      <c r="E14" s="12"/>
      <c r="F14" s="12"/>
      <c r="G14" s="40" t="s">
        <v>59</v>
      </c>
      <c r="H14" s="12"/>
      <c r="I14" s="12"/>
      <c r="J14" s="5"/>
      <c r="K14" s="12"/>
      <c r="L14" s="12"/>
      <c r="M14" s="12"/>
    </row>
    <row r="15" spans="1:13" ht="15.75">
      <c r="A15" s="39" t="s">
        <v>50</v>
      </c>
      <c r="B15" s="5"/>
      <c r="C15" s="15">
        <v>284</v>
      </c>
      <c r="D15" s="54" t="s">
        <v>35</v>
      </c>
      <c r="E15" s="12"/>
      <c r="F15" s="12"/>
      <c r="G15" s="52" t="s">
        <v>58</v>
      </c>
      <c r="H15" s="5"/>
      <c r="I15" s="6"/>
      <c r="J15" s="5"/>
      <c r="K15" s="12"/>
      <c r="L15" s="12"/>
      <c r="M15" s="12"/>
    </row>
    <row r="16" spans="1:13" ht="15.75">
      <c r="A16" s="39" t="s">
        <v>51</v>
      </c>
      <c r="B16" s="5"/>
      <c r="C16" s="15">
        <v>13.2</v>
      </c>
      <c r="D16" s="5" t="s">
        <v>52</v>
      </c>
      <c r="E16" s="12"/>
      <c r="F16" s="12"/>
      <c r="G16" s="42" t="s">
        <v>9</v>
      </c>
      <c r="H16" s="14">
        <v>11</v>
      </c>
      <c r="I16" s="15">
        <v>9.8</v>
      </c>
      <c r="J16" s="14" t="s">
        <v>103</v>
      </c>
      <c r="K16" s="12"/>
      <c r="L16" s="12"/>
      <c r="M16" s="12"/>
    </row>
    <row r="17" spans="1:13" ht="15.75">
      <c r="A17" s="114" t="s">
        <v>81</v>
      </c>
      <c r="B17" s="114"/>
      <c r="C17" s="114"/>
      <c r="D17" s="114"/>
      <c r="E17" s="12"/>
      <c r="F17" s="12"/>
      <c r="G17" s="12"/>
      <c r="H17" s="12"/>
      <c r="I17" s="33"/>
      <c r="J17" s="12"/>
      <c r="K17" s="12"/>
      <c r="L17" s="12"/>
      <c r="M17" s="12"/>
    </row>
    <row r="18" spans="1:13" ht="15.75">
      <c r="A18" s="110" t="s">
        <v>80</v>
      </c>
      <c r="B18" s="115" t="s">
        <v>108</v>
      </c>
      <c r="C18" s="115"/>
      <c r="D18" s="115"/>
      <c r="E18" s="12"/>
      <c r="F18" s="12"/>
      <c r="G18" s="42" t="s">
        <v>28</v>
      </c>
      <c r="H18" s="14">
        <v>158</v>
      </c>
      <c r="I18" s="15">
        <v>41.8</v>
      </c>
      <c r="J18" s="54" t="s">
        <v>35</v>
      </c>
      <c r="K18" s="12"/>
      <c r="L18" s="12"/>
      <c r="M18" s="12"/>
    </row>
    <row r="19" spans="1:13" ht="15.75">
      <c r="A19" s="12"/>
      <c r="B19" s="115" t="s">
        <v>109</v>
      </c>
      <c r="C19" s="115"/>
      <c r="D19" s="115"/>
      <c r="E19" s="12"/>
      <c r="F19" s="12"/>
      <c r="G19" s="51"/>
      <c r="H19" s="5"/>
      <c r="I19" s="5"/>
      <c r="J19" s="5"/>
      <c r="K19" s="12"/>
      <c r="L19" s="12"/>
      <c r="M19" s="12"/>
    </row>
    <row r="20" spans="1:13" ht="15">
      <c r="A20" s="12"/>
      <c r="B20" s="12"/>
      <c r="C20" s="12"/>
      <c r="D20" s="12"/>
      <c r="E20" s="12"/>
      <c r="F20" s="12"/>
      <c r="G20" s="52" t="s">
        <v>44</v>
      </c>
      <c r="H20" s="5"/>
      <c r="I20" s="5"/>
      <c r="J20" s="5"/>
      <c r="K20" s="12"/>
      <c r="L20" s="12"/>
      <c r="M20" s="12"/>
    </row>
    <row r="21" spans="1:13" ht="15">
      <c r="A21" s="40"/>
      <c r="B21" s="40"/>
      <c r="C21" s="40"/>
      <c r="D21" s="40"/>
      <c r="E21" s="40"/>
      <c r="F21" s="40"/>
      <c r="G21" s="52" t="s">
        <v>45</v>
      </c>
      <c r="H21" s="53"/>
      <c r="I21" s="53"/>
      <c r="J21" s="53"/>
      <c r="K21" s="40"/>
      <c r="L21" s="40"/>
      <c r="M21" s="12"/>
    </row>
    <row r="22" spans="1:13" ht="15.75">
      <c r="A22" s="40"/>
      <c r="B22" s="40"/>
      <c r="C22" s="40"/>
      <c r="D22" s="40"/>
      <c r="E22" s="40"/>
      <c r="F22" s="40"/>
      <c r="G22" s="41" t="s">
        <v>43</v>
      </c>
      <c r="H22" s="15">
        <v>0.1</v>
      </c>
      <c r="I22" s="10"/>
      <c r="J22" s="53"/>
      <c r="K22" s="40"/>
      <c r="L22" s="40"/>
      <c r="M22" s="12"/>
    </row>
    <row r="23" spans="1:13" ht="15.75">
      <c r="A23" s="40"/>
      <c r="B23" s="40"/>
      <c r="C23" s="40"/>
      <c r="D23" s="40"/>
      <c r="E23" s="40"/>
      <c r="F23" s="40"/>
      <c r="G23" s="111"/>
      <c r="H23" s="6"/>
      <c r="I23" s="10"/>
      <c r="J23" s="53"/>
      <c r="K23" s="40"/>
      <c r="L23" s="40"/>
      <c r="M23" s="12"/>
    </row>
    <row r="24" spans="1:13" ht="15.75">
      <c r="A24" s="35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.75">
      <c r="A25" s="3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>
      <c r="A26" s="36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3.5">
      <c r="A27" s="36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37" t="s">
        <v>1</v>
      </c>
      <c r="B28" s="14">
        <v>26</v>
      </c>
      <c r="C28" s="15">
        <v>15.5</v>
      </c>
      <c r="D28" s="14" t="s">
        <v>6</v>
      </c>
      <c r="E28" s="12"/>
      <c r="F28" s="12"/>
      <c r="G28" s="39" t="s">
        <v>25</v>
      </c>
      <c r="H28" s="116">
        <v>36859</v>
      </c>
      <c r="I28" s="116"/>
      <c r="J28" s="116"/>
      <c r="K28" s="43"/>
      <c r="L28" s="12"/>
      <c r="M28" s="12"/>
    </row>
    <row r="29" spans="1:13" ht="15.75">
      <c r="A29" s="37" t="s">
        <v>2</v>
      </c>
      <c r="B29" s="14">
        <v>91</v>
      </c>
      <c r="C29" s="15">
        <v>28.9</v>
      </c>
      <c r="D29" s="14" t="s">
        <v>7</v>
      </c>
      <c r="E29" s="12"/>
      <c r="F29" s="12"/>
      <c r="G29" s="39" t="s">
        <v>26</v>
      </c>
      <c r="H29" s="117">
        <v>0.4996527777777778</v>
      </c>
      <c r="I29" s="117"/>
      <c r="J29" s="117"/>
      <c r="K29" s="44"/>
      <c r="L29" s="12"/>
      <c r="M29" s="12"/>
    </row>
    <row r="30" spans="1:13" ht="15.75">
      <c r="A30" s="38"/>
      <c r="B30" s="12"/>
      <c r="C30" s="12"/>
      <c r="D30" s="12"/>
      <c r="E30" s="12"/>
      <c r="F30" s="12"/>
      <c r="G30" s="40" t="s">
        <v>30</v>
      </c>
      <c r="H30" s="12"/>
      <c r="I30" s="12"/>
      <c r="J30" s="12"/>
      <c r="K30" s="12"/>
      <c r="L30" s="12"/>
      <c r="M30" s="12"/>
    </row>
    <row r="31" spans="1:13" ht="15.75">
      <c r="A31" s="39" t="s">
        <v>27</v>
      </c>
      <c r="B31" s="14">
        <v>26</v>
      </c>
      <c r="C31" s="15">
        <v>1.2</v>
      </c>
      <c r="D31" s="12"/>
      <c r="E31" s="12"/>
      <c r="F31" s="12"/>
      <c r="G31" s="40" t="s">
        <v>56</v>
      </c>
      <c r="H31" s="12"/>
      <c r="I31" s="12"/>
      <c r="J31" s="12"/>
      <c r="K31" s="12"/>
      <c r="L31" s="12"/>
      <c r="M31" s="12"/>
    </row>
    <row r="32" spans="1:13" ht="15.75">
      <c r="A32" s="39" t="s">
        <v>15</v>
      </c>
      <c r="B32" s="5"/>
      <c r="C32" s="15">
        <v>0</v>
      </c>
      <c r="D32" s="12"/>
      <c r="E32" s="12"/>
      <c r="F32" s="12"/>
      <c r="G32" s="40" t="s">
        <v>57</v>
      </c>
      <c r="H32" s="12"/>
      <c r="I32" s="12"/>
      <c r="J32" s="12"/>
      <c r="K32" s="12"/>
      <c r="L32" s="12"/>
      <c r="M32" s="12"/>
    </row>
    <row r="33" spans="1:13" ht="15.75">
      <c r="A33" s="39" t="s">
        <v>11</v>
      </c>
      <c r="B33" s="5"/>
      <c r="C33" s="15">
        <v>3</v>
      </c>
      <c r="D33" s="12"/>
      <c r="E33" s="12"/>
      <c r="F33" s="12"/>
      <c r="G33" s="56" t="s">
        <v>54</v>
      </c>
      <c r="H33" s="14">
        <v>233</v>
      </c>
      <c r="I33" s="15">
        <v>38.1</v>
      </c>
      <c r="J33" s="12"/>
      <c r="K33" s="12"/>
      <c r="L33" s="12"/>
      <c r="M33" s="12"/>
    </row>
    <row r="34" spans="1:13" ht="15.75">
      <c r="A34" s="39" t="s">
        <v>13</v>
      </c>
      <c r="B34" s="5"/>
      <c r="C34" s="15">
        <v>25</v>
      </c>
      <c r="D34" s="12"/>
      <c r="E34" s="12"/>
      <c r="F34" s="12"/>
      <c r="G34" s="42" t="s">
        <v>53</v>
      </c>
      <c r="H34" s="14">
        <v>14</v>
      </c>
      <c r="I34" s="15">
        <v>54.9</v>
      </c>
      <c r="J34" s="12"/>
      <c r="K34" s="12"/>
      <c r="L34" s="12"/>
      <c r="M34" s="12"/>
    </row>
    <row r="35" spans="1:13" ht="15.75">
      <c r="A35" s="39" t="s">
        <v>28</v>
      </c>
      <c r="B35" s="5"/>
      <c r="C35" s="15">
        <v>18</v>
      </c>
      <c r="D35" s="12"/>
      <c r="E35" s="12"/>
      <c r="F35" s="12"/>
      <c r="G35" s="40" t="s">
        <v>55</v>
      </c>
      <c r="H35" s="12"/>
      <c r="I35" s="12"/>
      <c r="J35" s="5"/>
      <c r="K35" s="12"/>
      <c r="L35" s="12"/>
      <c r="M35" s="12"/>
    </row>
    <row r="36" spans="1:13" ht="15.75">
      <c r="A36" s="39" t="s">
        <v>29</v>
      </c>
      <c r="B36" s="5"/>
      <c r="C36" s="14">
        <v>769</v>
      </c>
      <c r="D36" s="55"/>
      <c r="E36" s="12"/>
      <c r="F36" s="12"/>
      <c r="G36" s="40" t="s">
        <v>59</v>
      </c>
      <c r="H36" s="12"/>
      <c r="I36" s="12"/>
      <c r="J36" s="5"/>
      <c r="K36" s="12"/>
      <c r="L36" s="12"/>
      <c r="M36" s="12"/>
    </row>
    <row r="37" spans="1:13" ht="15.75">
      <c r="A37" s="39" t="s">
        <v>50</v>
      </c>
      <c r="B37" s="5"/>
      <c r="C37" s="15">
        <v>284</v>
      </c>
      <c r="D37" s="54" t="s">
        <v>35</v>
      </c>
      <c r="E37" s="12"/>
      <c r="F37" s="12"/>
      <c r="G37" s="52" t="s">
        <v>58</v>
      </c>
      <c r="H37" s="5"/>
      <c r="I37" s="6"/>
      <c r="J37" s="5"/>
      <c r="K37" s="12"/>
      <c r="L37" s="12"/>
      <c r="M37" s="12"/>
    </row>
    <row r="38" spans="1:13" ht="15.75">
      <c r="A38" s="39" t="s">
        <v>51</v>
      </c>
      <c r="B38" s="5"/>
      <c r="C38" s="15">
        <v>13.2</v>
      </c>
      <c r="D38" s="5" t="s">
        <v>52</v>
      </c>
      <c r="E38" s="12"/>
      <c r="F38" s="12"/>
      <c r="G38" s="42" t="s">
        <v>9</v>
      </c>
      <c r="H38" s="14">
        <v>89</v>
      </c>
      <c r="I38" s="15">
        <v>16.2</v>
      </c>
      <c r="J38" s="14" t="s">
        <v>6</v>
      </c>
      <c r="K38" s="12"/>
      <c r="L38" s="12"/>
      <c r="M38" s="12"/>
    </row>
    <row r="39" spans="1:13" ht="15.75">
      <c r="A39" s="114" t="s">
        <v>81</v>
      </c>
      <c r="B39" s="114"/>
      <c r="C39" s="114"/>
      <c r="D39" s="114"/>
      <c r="E39" s="12"/>
      <c r="F39" s="12"/>
      <c r="G39" s="12"/>
      <c r="H39" s="12"/>
      <c r="I39" s="33"/>
      <c r="J39" s="12"/>
      <c r="K39" s="12"/>
      <c r="L39" s="12"/>
      <c r="M39" s="12"/>
    </row>
    <row r="40" spans="1:13" ht="15.75">
      <c r="A40" s="110" t="s">
        <v>80</v>
      </c>
      <c r="B40" s="115" t="s">
        <v>106</v>
      </c>
      <c r="C40" s="115"/>
      <c r="D40" s="115"/>
      <c r="E40" s="12"/>
      <c r="F40" s="12"/>
      <c r="G40" s="42" t="s">
        <v>28</v>
      </c>
      <c r="H40" s="14">
        <v>321</v>
      </c>
      <c r="I40" s="15">
        <v>31.2</v>
      </c>
      <c r="J40" s="54" t="s">
        <v>35</v>
      </c>
      <c r="K40" s="12"/>
      <c r="L40" s="12"/>
      <c r="M40" s="12"/>
    </row>
    <row r="41" spans="1:13" ht="15.75">
      <c r="A41" s="12"/>
      <c r="B41" s="115" t="s">
        <v>105</v>
      </c>
      <c r="C41" s="115"/>
      <c r="D41" s="115"/>
      <c r="E41" s="12"/>
      <c r="F41" s="12"/>
      <c r="G41" s="51"/>
      <c r="H41" s="5"/>
      <c r="I41" s="5"/>
      <c r="J41" s="5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52" t="s">
        <v>44</v>
      </c>
      <c r="H42" s="5"/>
      <c r="I42" s="5"/>
      <c r="J42" s="5"/>
      <c r="K42" s="12"/>
      <c r="L42" s="12"/>
      <c r="M42" s="12"/>
    </row>
    <row r="43" spans="1:13" ht="15">
      <c r="A43" s="40"/>
      <c r="B43" s="40"/>
      <c r="C43" s="40"/>
      <c r="D43" s="40"/>
      <c r="E43" s="40"/>
      <c r="F43" s="40"/>
      <c r="G43" s="52" t="s">
        <v>45</v>
      </c>
      <c r="H43" s="53"/>
      <c r="I43" s="53"/>
      <c r="J43" s="53"/>
      <c r="K43" s="40"/>
      <c r="L43" s="40"/>
      <c r="M43" s="12"/>
    </row>
    <row r="44" spans="1:13" ht="15.75">
      <c r="A44" s="40"/>
      <c r="B44" s="40"/>
      <c r="C44" s="40"/>
      <c r="D44" s="40"/>
      <c r="E44" s="40"/>
      <c r="F44" s="40"/>
      <c r="G44" s="41" t="s">
        <v>43</v>
      </c>
      <c r="H44" s="15">
        <v>0.1</v>
      </c>
      <c r="I44" s="10"/>
      <c r="J44" s="53"/>
      <c r="K44" s="40"/>
      <c r="L44" s="40"/>
      <c r="M44" s="12"/>
    </row>
    <row r="45" spans="1:13" ht="15.75">
      <c r="A45" s="40"/>
      <c r="B45" s="40"/>
      <c r="C45" s="40"/>
      <c r="D45" s="40"/>
      <c r="E45" s="40"/>
      <c r="F45" s="40"/>
      <c r="G45" s="111"/>
      <c r="H45" s="6"/>
      <c r="I45" s="10"/>
      <c r="J45" s="53"/>
      <c r="K45" s="40"/>
      <c r="L45" s="40"/>
      <c r="M45" s="12"/>
    </row>
    <row r="46" spans="1:13" ht="15.75">
      <c r="A46" s="35" t="s">
        <v>82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.75">
      <c r="A47" s="3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3.5">
      <c r="A48" s="36" t="s">
        <v>33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3.5">
      <c r="A49" s="36" t="s">
        <v>32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>
      <c r="A50" s="37" t="s">
        <v>1</v>
      </c>
      <c r="B50" s="14">
        <v>26</v>
      </c>
      <c r="C50" s="15">
        <v>15.6</v>
      </c>
      <c r="D50" s="14" t="s">
        <v>6</v>
      </c>
      <c r="E50" s="12"/>
      <c r="F50" s="12"/>
      <c r="G50" s="39" t="s">
        <v>25</v>
      </c>
      <c r="H50" s="116">
        <v>36859</v>
      </c>
      <c r="I50" s="116"/>
      <c r="J50" s="116"/>
      <c r="K50" s="43"/>
      <c r="L50" s="12"/>
      <c r="M50" s="12"/>
    </row>
    <row r="51" spans="1:13" ht="15.75">
      <c r="A51" s="37" t="s">
        <v>2</v>
      </c>
      <c r="B51" s="14">
        <v>91</v>
      </c>
      <c r="C51" s="15">
        <v>29.2</v>
      </c>
      <c r="D51" s="14" t="s">
        <v>7</v>
      </c>
      <c r="E51" s="12"/>
      <c r="F51" s="12"/>
      <c r="G51" s="39" t="s">
        <v>26</v>
      </c>
      <c r="H51" s="117">
        <v>0.5005555555555555</v>
      </c>
      <c r="I51" s="117"/>
      <c r="J51" s="117"/>
      <c r="K51" s="44"/>
      <c r="L51" s="12"/>
      <c r="M51" s="12"/>
    </row>
    <row r="52" spans="1:13" ht="15.75">
      <c r="A52" s="38"/>
      <c r="B52" s="12"/>
      <c r="C52" s="12"/>
      <c r="D52" s="12"/>
      <c r="E52" s="12"/>
      <c r="F52" s="12"/>
      <c r="G52" s="40" t="s">
        <v>30</v>
      </c>
      <c r="H52" s="12"/>
      <c r="I52" s="12"/>
      <c r="J52" s="12"/>
      <c r="K52" s="12"/>
      <c r="L52" s="12"/>
      <c r="M52" s="12"/>
    </row>
    <row r="53" spans="1:13" ht="15.75">
      <c r="A53" s="39" t="s">
        <v>27</v>
      </c>
      <c r="B53" s="14">
        <v>22</v>
      </c>
      <c r="C53" s="15">
        <v>33.8</v>
      </c>
      <c r="D53" s="12"/>
      <c r="E53" s="12"/>
      <c r="F53" s="12"/>
      <c r="G53" s="40" t="s">
        <v>56</v>
      </c>
      <c r="H53" s="12"/>
      <c r="I53" s="12"/>
      <c r="J53" s="12"/>
      <c r="K53" s="12"/>
      <c r="L53" s="12"/>
      <c r="M53" s="12"/>
    </row>
    <row r="54" spans="1:13" ht="15.75">
      <c r="A54" s="39" t="s">
        <v>15</v>
      </c>
      <c r="B54" s="5"/>
      <c r="C54" s="15">
        <v>0</v>
      </c>
      <c r="D54" s="12"/>
      <c r="E54" s="12"/>
      <c r="F54" s="12"/>
      <c r="G54" s="40" t="s">
        <v>57</v>
      </c>
      <c r="H54" s="12"/>
      <c r="I54" s="12"/>
      <c r="J54" s="12"/>
      <c r="K54" s="12"/>
      <c r="L54" s="12"/>
      <c r="M54" s="12"/>
    </row>
    <row r="55" spans="1:13" ht="15.75">
      <c r="A55" s="39" t="s">
        <v>11</v>
      </c>
      <c r="B55" s="5"/>
      <c r="C55" s="15">
        <v>3</v>
      </c>
      <c r="D55" s="12"/>
      <c r="E55" s="12"/>
      <c r="F55" s="12"/>
      <c r="G55" s="56" t="s">
        <v>54</v>
      </c>
      <c r="H55" s="14">
        <v>248</v>
      </c>
      <c r="I55" s="15">
        <v>40.6</v>
      </c>
      <c r="J55" s="12"/>
      <c r="K55" s="12"/>
      <c r="L55" s="12"/>
      <c r="M55" s="12"/>
    </row>
    <row r="56" spans="1:13" ht="15.75">
      <c r="A56" s="39" t="s">
        <v>13</v>
      </c>
      <c r="B56" s="5"/>
      <c r="C56" s="15">
        <v>25</v>
      </c>
      <c r="D56" s="12"/>
      <c r="E56" s="12"/>
      <c r="F56" s="12"/>
      <c r="G56" s="42" t="s">
        <v>53</v>
      </c>
      <c r="H56" s="14">
        <v>0</v>
      </c>
      <c r="I56" s="15">
        <v>12</v>
      </c>
      <c r="J56" s="12"/>
      <c r="K56" s="12"/>
      <c r="L56" s="12"/>
      <c r="M56" s="12"/>
    </row>
    <row r="57" spans="1:13" ht="15.75">
      <c r="A57" s="39" t="s">
        <v>28</v>
      </c>
      <c r="B57" s="5"/>
      <c r="C57" s="15">
        <v>18</v>
      </c>
      <c r="D57" s="12"/>
      <c r="E57" s="12"/>
      <c r="F57" s="12"/>
      <c r="G57" s="40" t="s">
        <v>55</v>
      </c>
      <c r="H57" s="12"/>
      <c r="I57" s="12"/>
      <c r="J57" s="5"/>
      <c r="K57" s="12"/>
      <c r="L57" s="12"/>
      <c r="M57" s="12"/>
    </row>
    <row r="58" spans="1:13" ht="15.75">
      <c r="A58" s="39" t="s">
        <v>29</v>
      </c>
      <c r="B58" s="5"/>
      <c r="C58" s="14">
        <v>769</v>
      </c>
      <c r="D58" s="55"/>
      <c r="E58" s="12"/>
      <c r="F58" s="12"/>
      <c r="G58" s="40" t="s">
        <v>59</v>
      </c>
      <c r="H58" s="12"/>
      <c r="I58" s="12"/>
      <c r="J58" s="5"/>
      <c r="K58" s="12"/>
      <c r="L58" s="12"/>
      <c r="M58" s="12"/>
    </row>
    <row r="59" spans="1:13" ht="15.75">
      <c r="A59" s="39" t="s">
        <v>50</v>
      </c>
      <c r="B59" s="5"/>
      <c r="C59" s="15">
        <v>284</v>
      </c>
      <c r="D59" s="54" t="s">
        <v>35</v>
      </c>
      <c r="E59" s="12"/>
      <c r="F59" s="12"/>
      <c r="G59" s="52" t="s">
        <v>58</v>
      </c>
      <c r="H59" s="5"/>
      <c r="I59" s="6"/>
      <c r="J59" s="5"/>
      <c r="K59" s="12"/>
      <c r="L59" s="12"/>
      <c r="M59" s="12"/>
    </row>
    <row r="60" spans="1:13" ht="15.75">
      <c r="A60" s="39" t="s">
        <v>51</v>
      </c>
      <c r="B60" s="5"/>
      <c r="C60" s="15">
        <v>13.2</v>
      </c>
      <c r="D60" s="5" t="s">
        <v>52</v>
      </c>
      <c r="E60" s="12"/>
      <c r="F60" s="12"/>
      <c r="G60" s="42" t="s">
        <v>9</v>
      </c>
      <c r="H60" s="14">
        <v>7</v>
      </c>
      <c r="I60" s="15">
        <v>24.4</v>
      </c>
      <c r="J60" s="14" t="s">
        <v>6</v>
      </c>
      <c r="K60" s="12"/>
      <c r="L60" s="12"/>
      <c r="M60" s="12"/>
    </row>
    <row r="61" spans="1:13" ht="15.75">
      <c r="A61" s="114" t="s">
        <v>81</v>
      </c>
      <c r="B61" s="114"/>
      <c r="C61" s="114"/>
      <c r="D61" s="114"/>
      <c r="E61" s="12"/>
      <c r="F61" s="12"/>
      <c r="G61" s="12"/>
      <c r="H61" s="12"/>
      <c r="I61" s="33"/>
      <c r="J61" s="12"/>
      <c r="K61" s="12"/>
      <c r="L61" s="12"/>
      <c r="M61" s="12"/>
    </row>
    <row r="62" spans="1:13" ht="15.75">
      <c r="A62" s="110" t="s">
        <v>80</v>
      </c>
      <c r="B62" s="115" t="s">
        <v>107</v>
      </c>
      <c r="C62" s="115"/>
      <c r="D62" s="115"/>
      <c r="E62" s="12"/>
      <c r="F62" s="12"/>
      <c r="G62" s="42" t="s">
        <v>28</v>
      </c>
      <c r="H62" s="14">
        <v>271</v>
      </c>
      <c r="I62" s="15">
        <v>11.6</v>
      </c>
      <c r="J62" s="54" t="s">
        <v>35</v>
      </c>
      <c r="K62" s="12"/>
      <c r="L62" s="12"/>
      <c r="M62" s="12"/>
    </row>
    <row r="63" spans="1:13" ht="15.75">
      <c r="A63" s="12"/>
      <c r="B63" s="115" t="s">
        <v>110</v>
      </c>
      <c r="C63" s="115"/>
      <c r="D63" s="115"/>
      <c r="E63" s="12"/>
      <c r="F63" s="12"/>
      <c r="G63" s="51"/>
      <c r="H63" s="5"/>
      <c r="I63" s="5"/>
      <c r="J63" s="5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52" t="s">
        <v>44</v>
      </c>
      <c r="H64" s="5"/>
      <c r="I64" s="5"/>
      <c r="J64" s="5"/>
      <c r="K64" s="12"/>
      <c r="L64" s="12"/>
      <c r="M64" s="12"/>
    </row>
    <row r="65" spans="1:13" ht="15">
      <c r="A65" s="40"/>
      <c r="B65" s="40"/>
      <c r="C65" s="40"/>
      <c r="D65" s="40"/>
      <c r="E65" s="40"/>
      <c r="F65" s="40"/>
      <c r="G65" s="52" t="s">
        <v>45</v>
      </c>
      <c r="H65" s="53"/>
      <c r="I65" s="53"/>
      <c r="J65" s="53"/>
      <c r="K65" s="40"/>
      <c r="L65" s="40"/>
      <c r="M65" s="12"/>
    </row>
    <row r="66" spans="1:12" ht="15.75">
      <c r="A66" s="40"/>
      <c r="B66" s="40"/>
      <c r="C66" s="40"/>
      <c r="D66" s="40"/>
      <c r="E66" s="40"/>
      <c r="F66" s="40"/>
      <c r="G66" s="41" t="s">
        <v>43</v>
      </c>
      <c r="H66" s="15">
        <v>0.1</v>
      </c>
      <c r="I66" s="10"/>
      <c r="J66" s="53"/>
      <c r="K66" s="40"/>
      <c r="L66" s="40"/>
    </row>
    <row r="67" spans="1:12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5.75">
      <c r="A68" s="46" t="s">
        <v>36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</sheetData>
  <sheetProtection password="CC36" sheet="1" objects="1" scenarios="1"/>
  <mergeCells count="15">
    <mergeCell ref="H6:J6"/>
    <mergeCell ref="H7:J7"/>
    <mergeCell ref="H51:J51"/>
    <mergeCell ref="H50:J50"/>
    <mergeCell ref="H28:J28"/>
    <mergeCell ref="H29:J29"/>
    <mergeCell ref="A61:D61"/>
    <mergeCell ref="B62:D62"/>
    <mergeCell ref="B63:D63"/>
    <mergeCell ref="A17:D17"/>
    <mergeCell ref="B19:D19"/>
    <mergeCell ref="B18:D18"/>
    <mergeCell ref="A39:D39"/>
    <mergeCell ref="B40:D40"/>
    <mergeCell ref="B41:D4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.375" style="0" customWidth="1"/>
    <col min="3" max="3" width="1.4921875" style="0" customWidth="1"/>
    <col min="4" max="4" width="5.50390625" style="0" customWidth="1"/>
    <col min="5" max="5" width="1.37890625" style="0" customWidth="1"/>
    <col min="6" max="6" width="2.50390625" style="0" customWidth="1"/>
    <col min="8" max="8" width="5.875" style="0" customWidth="1"/>
    <col min="9" max="9" width="1.875" style="0" customWidth="1"/>
    <col min="10" max="10" width="4.625" style="0" customWidth="1"/>
    <col min="11" max="11" width="1.625" style="0" customWidth="1"/>
    <col min="12" max="12" width="5.625" style="0" customWidth="1"/>
    <col min="13" max="13" width="1.4921875" style="0" customWidth="1"/>
    <col min="14" max="14" width="3.125" style="0" customWidth="1"/>
    <col min="15" max="15" width="6.625" style="0" customWidth="1"/>
    <col min="16" max="16" width="1.4921875" style="0" customWidth="1"/>
    <col min="17" max="17" width="4.375" style="0" customWidth="1"/>
    <col min="18" max="18" width="1.625" style="0" customWidth="1"/>
    <col min="19" max="19" width="4.625" style="0" customWidth="1"/>
    <col min="20" max="20" width="1.4921875" style="0" customWidth="1"/>
    <col min="21" max="21" width="2.375" style="0" customWidth="1"/>
    <col min="22" max="22" width="12.375" style="0" bestFit="1" customWidth="1"/>
  </cols>
  <sheetData>
    <row r="1" spans="1:22" ht="18">
      <c r="A1" s="12"/>
      <c r="B1" s="118" t="s">
        <v>99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2"/>
      <c r="T1" s="12"/>
      <c r="U1" s="12"/>
      <c r="V1" s="12"/>
    </row>
    <row r="2" spans="1:22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"/>
      <c r="T5" s="12"/>
      <c r="U5" s="12"/>
      <c r="V5" s="12"/>
    </row>
    <row r="6" spans="1:22" ht="15.75">
      <c r="A6" s="17" t="s">
        <v>3</v>
      </c>
      <c r="B6" s="129">
        <f>Data!H6</f>
        <v>36859</v>
      </c>
      <c r="C6" s="129"/>
      <c r="D6" s="129"/>
      <c r="E6" s="123" t="s">
        <v>8</v>
      </c>
      <c r="F6" s="123"/>
      <c r="G6" s="12"/>
      <c r="H6" s="59" t="s">
        <v>54</v>
      </c>
      <c r="I6" s="96"/>
      <c r="J6" s="5">
        <f>Data!H11</f>
        <v>233</v>
      </c>
      <c r="K6" s="5" t="s">
        <v>35</v>
      </c>
      <c r="L6" s="6">
        <f>Data!I11</f>
        <v>38.1</v>
      </c>
      <c r="M6" s="7" t="s">
        <v>5</v>
      </c>
      <c r="N6" s="5" t="s">
        <v>7</v>
      </c>
      <c r="O6" s="19" t="s">
        <v>9</v>
      </c>
      <c r="P6" s="13"/>
      <c r="Q6" s="5">
        <f>Data!H16</f>
        <v>11</v>
      </c>
      <c r="R6" s="5" t="s">
        <v>35</v>
      </c>
      <c r="S6" s="6">
        <f>Data!I16</f>
        <v>9.8</v>
      </c>
      <c r="T6" s="7" t="s">
        <v>5</v>
      </c>
      <c r="U6" s="5" t="str">
        <f>Data!J16</f>
        <v>S</v>
      </c>
      <c r="V6" s="12"/>
    </row>
    <row r="7" spans="1:22" ht="15.75">
      <c r="A7" s="17" t="s">
        <v>0</v>
      </c>
      <c r="B7" s="130">
        <f>Data!H7</f>
        <v>0.49887731481481484</v>
      </c>
      <c r="C7" s="130"/>
      <c r="D7" s="130"/>
      <c r="E7" s="123" t="s">
        <v>8</v>
      </c>
      <c r="F7" s="123"/>
      <c r="G7" s="12"/>
      <c r="H7" s="67" t="s">
        <v>53</v>
      </c>
      <c r="I7" s="90"/>
      <c r="J7" s="69">
        <f>Data!H12</f>
        <v>14</v>
      </c>
      <c r="K7" s="69" t="s">
        <v>35</v>
      </c>
      <c r="L7" s="70">
        <f>Data!I12</f>
        <v>38.1</v>
      </c>
      <c r="M7" s="71" t="s">
        <v>5</v>
      </c>
      <c r="N7" s="69"/>
      <c r="O7" s="80"/>
      <c r="P7" s="81"/>
      <c r="Q7" s="54"/>
      <c r="R7" s="54"/>
      <c r="S7" s="54"/>
      <c r="T7" s="82"/>
      <c r="U7" s="54"/>
      <c r="V7" s="12"/>
    </row>
    <row r="8" spans="1:22" ht="15.75">
      <c r="A8" s="64" t="s">
        <v>1</v>
      </c>
      <c r="B8" s="72">
        <f>Data!B6</f>
        <v>26</v>
      </c>
      <c r="C8" s="5" t="s">
        <v>35</v>
      </c>
      <c r="D8" s="73">
        <f>Data!C6</f>
        <v>15.5</v>
      </c>
      <c r="E8" s="74" t="s">
        <v>5</v>
      </c>
      <c r="F8" s="5" t="str">
        <f>Data!D6</f>
        <v>N</v>
      </c>
      <c r="G8" s="12"/>
      <c r="H8" s="59" t="s">
        <v>61</v>
      </c>
      <c r="I8" s="96"/>
      <c r="J8" s="5">
        <f>IF(L6+L7&gt;60,IF(J6+J7&gt;=359,J6+J7-359,J6+J7+1),IF(J6+J7&gt;=360,J6+J7-360,J6+J7))</f>
        <v>248</v>
      </c>
      <c r="K8" s="5" t="s">
        <v>35</v>
      </c>
      <c r="L8" s="6">
        <f>IF(L6+L7&gt;=60,L6+L7-60,L6+L7)</f>
        <v>16.200000000000003</v>
      </c>
      <c r="M8" s="7" t="s">
        <v>5</v>
      </c>
      <c r="N8" s="5" t="s">
        <v>7</v>
      </c>
      <c r="O8" s="80"/>
      <c r="P8" s="81"/>
      <c r="Q8" s="54"/>
      <c r="R8" s="54"/>
      <c r="S8" s="83"/>
      <c r="T8" s="82"/>
      <c r="U8" s="54"/>
      <c r="V8" s="12"/>
    </row>
    <row r="9" spans="1:22" ht="15.75">
      <c r="A9" s="64" t="s">
        <v>2</v>
      </c>
      <c r="B9" s="72">
        <f>Data!B7</f>
        <v>91</v>
      </c>
      <c r="C9" s="5" t="s">
        <v>35</v>
      </c>
      <c r="D9" s="73">
        <f>Data!C7</f>
        <v>28.7</v>
      </c>
      <c r="E9" s="75" t="s">
        <v>5</v>
      </c>
      <c r="F9" s="5" t="str">
        <f>Data!D7</f>
        <v>W</v>
      </c>
      <c r="G9" s="12"/>
      <c r="H9" s="60" t="s">
        <v>2</v>
      </c>
      <c r="I9" s="96"/>
      <c r="J9" s="5">
        <f>B9</f>
        <v>91</v>
      </c>
      <c r="K9" s="5" t="s">
        <v>35</v>
      </c>
      <c r="L9" s="6">
        <f>D9</f>
        <v>28.7</v>
      </c>
      <c r="M9" s="7" t="s">
        <v>5</v>
      </c>
      <c r="N9" s="5" t="str">
        <f>F9</f>
        <v>W</v>
      </c>
      <c r="O9" s="12"/>
      <c r="P9" s="12"/>
      <c r="Q9" s="12"/>
      <c r="R9" s="12"/>
      <c r="S9" s="12"/>
      <c r="T9" s="12"/>
      <c r="U9" s="12"/>
      <c r="V9" s="12"/>
    </row>
    <row r="10" spans="1:22" ht="15.75">
      <c r="A10" s="57" t="s">
        <v>4</v>
      </c>
      <c r="B10" s="72">
        <f>Data!B9</f>
        <v>32</v>
      </c>
      <c r="C10" s="5" t="s">
        <v>35</v>
      </c>
      <c r="D10" s="73">
        <f>Data!C9</f>
        <v>56.8</v>
      </c>
      <c r="E10" s="7" t="s">
        <v>5</v>
      </c>
      <c r="F10" s="5"/>
      <c r="G10" s="12"/>
      <c r="H10" s="61" t="s">
        <v>62</v>
      </c>
      <c r="I10" s="97"/>
      <c r="J10" s="1">
        <f>IF(N9="E",IF(L8+L9&gt;60,IF(J8+J9&gt;=359,J8+J9-359,J8+J9+1),IF(J8+J9&gt;=360,J8+J9-360,J8+J9)),IF(L8-L9&lt;0,IF(J9&gt;=J8,J8-J9+359,J8-J9-1),IF(J9&gt;=J8,J8-J9+360,J8-J9)))</f>
        <v>156</v>
      </c>
      <c r="K10" s="1" t="s">
        <v>35</v>
      </c>
      <c r="L10" s="2">
        <f>IF(N9="E",IF(L8+L9&lt;60,L8+L9,L8+L9-60),IF(L8-L9&lt;0,L8-L9+60,L8-L9))</f>
        <v>47.5</v>
      </c>
      <c r="M10" s="3" t="s">
        <v>5</v>
      </c>
      <c r="N10" s="1" t="s">
        <v>7</v>
      </c>
      <c r="O10" s="12"/>
      <c r="P10" s="12"/>
      <c r="Q10" s="12"/>
      <c r="R10" s="12"/>
      <c r="S10" s="12"/>
      <c r="T10" s="12"/>
      <c r="U10" s="12"/>
      <c r="V10" s="12"/>
    </row>
    <row r="11" spans="1:22" ht="15.75">
      <c r="A11" s="17" t="s">
        <v>11</v>
      </c>
      <c r="B11" s="5"/>
      <c r="C11" s="5"/>
      <c r="D11" s="5">
        <f>Data!C11</f>
        <v>3</v>
      </c>
      <c r="E11" s="7" t="s">
        <v>5</v>
      </c>
      <c r="F11" s="5"/>
      <c r="G11" s="12"/>
      <c r="H11" s="79" t="s">
        <v>28</v>
      </c>
      <c r="I11" s="90"/>
      <c r="J11" s="92">
        <f>Data!H18</f>
        <v>158</v>
      </c>
      <c r="K11" s="54" t="s">
        <v>35</v>
      </c>
      <c r="L11" s="112">
        <f>Data!I18</f>
        <v>41.8</v>
      </c>
      <c r="M11" s="7" t="s">
        <v>5</v>
      </c>
      <c r="N11" s="92"/>
      <c r="O11" s="12"/>
      <c r="P11" s="12"/>
      <c r="Q11" s="12"/>
      <c r="R11" s="12"/>
      <c r="S11" s="12"/>
      <c r="T11" s="12"/>
      <c r="U11" s="12"/>
      <c r="V11" s="12"/>
    </row>
    <row r="12" spans="1:22" ht="15.75">
      <c r="A12" s="17" t="s">
        <v>15</v>
      </c>
      <c r="B12" s="5"/>
      <c r="C12" s="5"/>
      <c r="D12" s="6">
        <f>Data!C10</f>
        <v>0</v>
      </c>
      <c r="E12" s="7" t="s">
        <v>5</v>
      </c>
      <c r="F12" s="5"/>
      <c r="G12" s="12"/>
      <c r="H12" s="77" t="s">
        <v>63</v>
      </c>
      <c r="I12" s="91"/>
      <c r="J12" s="22">
        <f>IF(L10+L11&gt;=60,IF(J10+J11&gt;=359,J10+J11-359,J10+J11+1),IF(J10+J11&gt;=360,J10+J11-360,J10+J11))</f>
        <v>315</v>
      </c>
      <c r="K12" s="1" t="s">
        <v>35</v>
      </c>
      <c r="L12" s="6">
        <f>IF(L10+L11&gt;=60,L10+L11-60,L10+L11)</f>
        <v>29.299999999999997</v>
      </c>
      <c r="M12" s="3" t="s">
        <v>5</v>
      </c>
      <c r="N12" s="5" t="s">
        <v>7</v>
      </c>
      <c r="O12" s="12"/>
      <c r="P12" s="12"/>
      <c r="Q12" s="12"/>
      <c r="R12" s="12"/>
      <c r="S12" s="12"/>
      <c r="T12" s="12"/>
      <c r="U12" s="12"/>
      <c r="V12" s="33"/>
    </row>
    <row r="13" spans="1:24" ht="15.75">
      <c r="A13" s="17" t="s">
        <v>13</v>
      </c>
      <c r="B13" s="5"/>
      <c r="C13" s="5"/>
      <c r="D13" s="6">
        <f>Data!C12</f>
        <v>25</v>
      </c>
      <c r="E13" s="123" t="s">
        <v>14</v>
      </c>
      <c r="F13" s="123"/>
      <c r="G13" s="23"/>
      <c r="H13" s="78"/>
      <c r="I13" s="12"/>
      <c r="J13" s="22">
        <f>IF(J12&gt;=180,359-J12," ")</f>
        <v>44</v>
      </c>
      <c r="K13" s="5" t="str">
        <f>IF(J13=" "," ","º")</f>
        <v>º</v>
      </c>
      <c r="L13" s="6">
        <f>IF(J12&gt;=180,60-L12," ")</f>
        <v>30.700000000000003</v>
      </c>
      <c r="M13" s="5" t="str">
        <f>IF(J13=" "," ","'")</f>
        <v>'</v>
      </c>
      <c r="N13" s="5" t="str">
        <f>IF(J13=" "," ","E")</f>
        <v>E</v>
      </c>
      <c r="O13" s="12"/>
      <c r="P13" s="12"/>
      <c r="Q13" s="12"/>
      <c r="R13" s="12"/>
      <c r="S13" s="12"/>
      <c r="T13" s="12"/>
      <c r="U13" s="12"/>
      <c r="V13" s="12"/>
      <c r="X13" s="6"/>
    </row>
    <row r="14" spans="1:22" ht="13.5">
      <c r="A14" s="58" t="s">
        <v>28</v>
      </c>
      <c r="B14" s="5"/>
      <c r="C14" s="5"/>
      <c r="D14" s="6">
        <f>Data!C13</f>
        <v>18</v>
      </c>
      <c r="E14" s="5" t="s">
        <v>35</v>
      </c>
      <c r="F14" s="5" t="s">
        <v>42</v>
      </c>
      <c r="G14" s="13"/>
      <c r="H14" s="12"/>
      <c r="I14" s="12"/>
      <c r="J14" s="12"/>
      <c r="K14" s="12"/>
      <c r="L14" s="12"/>
      <c r="M14" s="12"/>
      <c r="N14" s="12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57" t="s">
        <v>29</v>
      </c>
      <c r="B15" s="5"/>
      <c r="C15" s="5"/>
      <c r="D15" s="5">
        <f>Data!C14</f>
        <v>769</v>
      </c>
      <c r="E15" s="123" t="s">
        <v>60</v>
      </c>
      <c r="F15" s="123"/>
      <c r="G15" s="13"/>
      <c r="H15" s="62" t="str">
        <f>A10</f>
        <v>ОС</v>
      </c>
      <c r="I15" s="13"/>
      <c r="J15" s="5">
        <f>B10</f>
        <v>32</v>
      </c>
      <c r="K15" s="45" t="s">
        <v>35</v>
      </c>
      <c r="L15" s="6">
        <f>D10</f>
        <v>56.8</v>
      </c>
      <c r="M15" s="7" t="s">
        <v>5</v>
      </c>
      <c r="N15" s="10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17" t="s">
        <v>50</v>
      </c>
      <c r="B16" s="5"/>
      <c r="C16" s="5"/>
      <c r="D16" s="76">
        <f>Data!C15</f>
        <v>284</v>
      </c>
      <c r="E16" s="5" t="s">
        <v>35</v>
      </c>
      <c r="F16" s="5"/>
      <c r="G16" s="13"/>
      <c r="H16" s="62" t="str">
        <f>A11</f>
        <v>i</v>
      </c>
      <c r="I16" s="13"/>
      <c r="J16" s="5"/>
      <c r="K16" s="5"/>
      <c r="L16" s="6">
        <f>D11</f>
        <v>3</v>
      </c>
      <c r="M16" s="7" t="s">
        <v>5</v>
      </c>
      <c r="N16" s="10"/>
      <c r="O16" s="13"/>
      <c r="P16" s="13"/>
      <c r="Q16" s="13"/>
      <c r="R16" s="13"/>
      <c r="S16" s="13"/>
      <c r="T16" s="13"/>
      <c r="U16" s="13"/>
      <c r="V16" s="13"/>
    </row>
    <row r="17" spans="1:22" ht="15.75">
      <c r="A17" s="17" t="s">
        <v>51</v>
      </c>
      <c r="B17" s="5"/>
      <c r="C17" s="5"/>
      <c r="D17" s="76">
        <f>Data!C16</f>
        <v>13.2</v>
      </c>
      <c r="E17" s="127" t="s">
        <v>52</v>
      </c>
      <c r="F17" s="127"/>
      <c r="G17" s="13"/>
      <c r="H17" s="62" t="str">
        <f>A12</f>
        <v>s</v>
      </c>
      <c r="I17" s="13"/>
      <c r="J17" s="5"/>
      <c r="K17" s="5"/>
      <c r="L17" s="6">
        <f>D12</f>
        <v>0</v>
      </c>
      <c r="M17" s="7" t="s">
        <v>5</v>
      </c>
      <c r="N17" s="10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114" t="str">
        <f>Data!A17</f>
        <v>Star sighted</v>
      </c>
      <c r="B18" s="114"/>
      <c r="C18" s="114"/>
      <c r="D18" s="114"/>
      <c r="E18" s="114"/>
      <c r="F18" s="114"/>
      <c r="G18" s="13"/>
      <c r="H18" s="62" t="s">
        <v>12</v>
      </c>
      <c r="I18" s="13"/>
      <c r="J18" s="5"/>
      <c r="K18" s="5"/>
      <c r="L18" s="6">
        <f>-ROUND(1.7603*SQRT(D13),1)</f>
        <v>-8.8</v>
      </c>
      <c r="M18" s="7" t="s">
        <v>5</v>
      </c>
      <c r="N18" s="10"/>
      <c r="O18" s="24"/>
      <c r="P18" s="13"/>
      <c r="Q18" s="13"/>
      <c r="R18" s="13"/>
      <c r="S18" s="13"/>
      <c r="T18" s="13"/>
      <c r="U18" s="13"/>
      <c r="V18" s="12"/>
    </row>
    <row r="19" spans="1:22" ht="15.75">
      <c r="A19" s="109" t="str">
        <f>Data!A18</f>
        <v>a</v>
      </c>
      <c r="B19" s="128" t="str">
        <f>Data!B18</f>
        <v>Virginis</v>
      </c>
      <c r="C19" s="128"/>
      <c r="D19" s="128"/>
      <c r="E19" s="128"/>
      <c r="F19" s="128"/>
      <c r="G19" s="13"/>
      <c r="H19" s="62" t="s">
        <v>64</v>
      </c>
      <c r="I19" s="13"/>
      <c r="J19" s="5"/>
      <c r="K19" s="5"/>
      <c r="L19" s="6">
        <f>Tables!G13</f>
        <v>-1.39999999999996</v>
      </c>
      <c r="M19" s="7" t="s">
        <v>5</v>
      </c>
      <c r="N19" s="10"/>
      <c r="O19" s="13"/>
      <c r="P19" s="13"/>
      <c r="Q19" s="13"/>
      <c r="R19" s="13"/>
      <c r="S19" s="13"/>
      <c r="T19" s="13"/>
      <c r="U19" s="13"/>
      <c r="V19" s="30"/>
    </row>
    <row r="20" spans="1:22" ht="15.75">
      <c r="A20" s="13"/>
      <c r="B20" s="128" t="str">
        <f>Data!B19</f>
        <v>Spica</v>
      </c>
      <c r="C20" s="128"/>
      <c r="D20" s="128"/>
      <c r="E20" s="128"/>
      <c r="F20" s="128"/>
      <c r="G20" s="13"/>
      <c r="H20" s="62" t="s">
        <v>43</v>
      </c>
      <c r="I20" s="13"/>
      <c r="J20" s="5"/>
      <c r="K20" s="5"/>
      <c r="L20" s="6">
        <f>Data!H22</f>
        <v>0.1</v>
      </c>
      <c r="M20" s="7" t="s">
        <v>5</v>
      </c>
      <c r="N20" s="10"/>
      <c r="O20" s="13"/>
      <c r="P20" s="13"/>
      <c r="Q20" s="13"/>
      <c r="R20" s="13"/>
      <c r="S20" s="13"/>
      <c r="T20" s="13"/>
      <c r="U20" s="13"/>
      <c r="V20" s="13"/>
    </row>
    <row r="21" spans="1:22" ht="15.75">
      <c r="A21" s="13"/>
      <c r="B21" s="13"/>
      <c r="C21" s="13"/>
      <c r="D21" s="13"/>
      <c r="E21" s="13"/>
      <c r="F21" s="13"/>
      <c r="G21" s="13"/>
      <c r="H21" s="63" t="s">
        <v>65</v>
      </c>
      <c r="I21" s="25"/>
      <c r="J21" s="98">
        <f>IF(SUM(L15:L20)&gt;=60,J15+1,IF(SUM(L15:L20)&lt;0,J15-1,J15))</f>
        <v>32</v>
      </c>
      <c r="K21" s="99" t="s">
        <v>35</v>
      </c>
      <c r="L21" s="2">
        <f>IF(SUM(L15:L20)&gt;=60,SUM(L15:L20)-60,IF(SUM(L15:L20)&lt;0,SUM(L15:L20)+60,SUM(L15:L20)))</f>
        <v>49.70000000000004</v>
      </c>
      <c r="M21" s="3" t="s">
        <v>5</v>
      </c>
      <c r="N21" s="26"/>
      <c r="O21" s="13"/>
      <c r="P21" s="13"/>
      <c r="Q21" s="13"/>
      <c r="R21" s="13"/>
      <c r="S21" s="13"/>
      <c r="T21" s="13"/>
      <c r="U21" s="13"/>
      <c r="V21" s="13"/>
    </row>
    <row r="22" spans="1:22" ht="15.75">
      <c r="A22" s="13"/>
      <c r="B22" s="13"/>
      <c r="C22" s="13"/>
      <c r="D22" s="13"/>
      <c r="E22" s="13"/>
      <c r="F22" s="13"/>
      <c r="G22" s="13"/>
      <c r="H22" s="85" t="s">
        <v>66</v>
      </c>
      <c r="I22" s="28"/>
      <c r="J22" s="100"/>
      <c r="K22" s="92"/>
      <c r="L22" s="70">
        <f>Tables!J12</f>
        <v>-0.5</v>
      </c>
      <c r="M22" s="71" t="s">
        <v>5</v>
      </c>
      <c r="N22" s="29"/>
      <c r="O22" s="13"/>
      <c r="P22" s="13"/>
      <c r="Q22" s="13"/>
      <c r="R22" s="13"/>
      <c r="S22" s="13"/>
      <c r="T22" s="13"/>
      <c r="U22" s="13"/>
      <c r="V22" s="13"/>
    </row>
    <row r="23" spans="1:22" ht="15.75">
      <c r="A23" s="13"/>
      <c r="B23" s="13"/>
      <c r="C23" s="13"/>
      <c r="D23" s="13"/>
      <c r="E23" s="13"/>
      <c r="F23" s="13"/>
      <c r="G23" s="13"/>
      <c r="H23" s="63" t="s">
        <v>16</v>
      </c>
      <c r="I23" s="81"/>
      <c r="J23" s="101">
        <f>IF(L21+L22&gt;=60,J21+1,IF(L21+L22&lt;0,J21-1,J21))</f>
        <v>32</v>
      </c>
      <c r="K23" s="99" t="s">
        <v>35</v>
      </c>
      <c r="L23" s="83">
        <f>IF(L21+L22&gt;=60,L21+L22-60,IF(L21+L22&lt;0,L21+L22+60,L21+L22))</f>
        <v>49.20000000000004</v>
      </c>
      <c r="M23" s="3" t="s">
        <v>5</v>
      </c>
      <c r="N23" s="84"/>
      <c r="O23" s="13"/>
      <c r="P23" s="13"/>
      <c r="Q23" s="13"/>
      <c r="R23" s="13"/>
      <c r="S23" s="13"/>
      <c r="T23" s="13"/>
      <c r="U23" s="13"/>
      <c r="V23" s="13"/>
    </row>
    <row r="24" spans="1:22" ht="15.75">
      <c r="A24" s="13"/>
      <c r="B24" s="13"/>
      <c r="C24" s="13"/>
      <c r="D24" s="13"/>
      <c r="E24" s="13"/>
      <c r="F24" s="13"/>
      <c r="G24" s="13"/>
      <c r="H24" s="65" t="s">
        <v>20</v>
      </c>
      <c r="I24" s="28"/>
      <c r="J24" s="100">
        <f>J31</f>
        <v>32</v>
      </c>
      <c r="K24" s="92" t="s">
        <v>35</v>
      </c>
      <c r="L24" s="70">
        <f>L31</f>
        <v>48.4</v>
      </c>
      <c r="M24" s="71" t="s">
        <v>5</v>
      </c>
      <c r="N24" s="29"/>
      <c r="O24" s="13"/>
      <c r="P24" s="13"/>
      <c r="Q24" s="13"/>
      <c r="R24" s="13"/>
      <c r="S24" s="13"/>
      <c r="T24" s="13"/>
      <c r="U24" s="13"/>
      <c r="V24" s="13"/>
    </row>
    <row r="25" spans="1:22" ht="15.75">
      <c r="A25" s="13"/>
      <c r="B25" s="13"/>
      <c r="C25" s="13"/>
      <c r="D25" s="13"/>
      <c r="E25" s="13"/>
      <c r="F25" s="13"/>
      <c r="G25" s="13"/>
      <c r="H25" s="21" t="s">
        <v>24</v>
      </c>
      <c r="I25" s="107" t="str">
        <f>IF(J23+L23/60-J24-L24/60&lt;0,"-"," ")</f>
        <v> </v>
      </c>
      <c r="J25" s="45">
        <f>TRUNC(J23+L23/60-J24-L24/60,0)</f>
        <v>0</v>
      </c>
      <c r="K25" s="45" t="s">
        <v>35</v>
      </c>
      <c r="L25" s="104">
        <f>ABS(((J23+L23/60-J24-L24/60)-J25)*60)</f>
        <v>0.8000000000000185</v>
      </c>
      <c r="M25" s="7" t="s">
        <v>5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3.5">
      <c r="A26" s="13"/>
      <c r="B26" s="13"/>
      <c r="C26" s="13"/>
      <c r="D26" s="13"/>
      <c r="E26" s="13"/>
      <c r="F26" s="13"/>
      <c r="G26" s="13"/>
      <c r="H26" s="13"/>
      <c r="I26" s="13"/>
      <c r="J26" s="12"/>
      <c r="K26" s="13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2"/>
    </row>
    <row r="27" spans="1:37" ht="15.75">
      <c r="A27" s="27" t="str">
        <f>A8</f>
        <v>j</v>
      </c>
      <c r="B27" s="5">
        <f>IF(D8&lt;=30,B8,B8+1)</f>
        <v>26</v>
      </c>
      <c r="C27" s="45" t="s">
        <v>35</v>
      </c>
      <c r="D27" s="6">
        <f>IF(D8&lt;=30,D8,D8-60)</f>
        <v>15.5</v>
      </c>
      <c r="E27" s="7" t="s">
        <v>5</v>
      </c>
      <c r="F27" s="5" t="str">
        <f>F8</f>
        <v>N</v>
      </c>
      <c r="G27" s="13"/>
      <c r="H27" s="65" t="s">
        <v>17</v>
      </c>
      <c r="I27" s="28"/>
      <c r="J27" s="69">
        <f>ROUND(TRUNC(ABS(90-Tables!$I$2),0),0)</f>
        <v>32</v>
      </c>
      <c r="K27" s="92" t="s">
        <v>35</v>
      </c>
      <c r="L27" s="70">
        <f>ROUND((ABS(90-Tables!$I$2)-$J$27)*60,1)</f>
        <v>41.9</v>
      </c>
      <c r="M27" s="71" t="s">
        <v>5</v>
      </c>
      <c r="N27" s="13"/>
      <c r="O27" s="65" t="s">
        <v>21</v>
      </c>
      <c r="P27" s="28"/>
      <c r="Q27" s="126">
        <f>IF(Tables!$J$2&lt;0,180+Tables!$J$2,Tables!$J$2)</f>
        <v>124.4</v>
      </c>
      <c r="R27" s="126"/>
      <c r="S27" s="92" t="s">
        <v>35</v>
      </c>
      <c r="T27" s="13"/>
      <c r="U27" s="13"/>
      <c r="V27" s="13"/>
      <c r="AJ27" s="125"/>
      <c r="AK27" s="125"/>
    </row>
    <row r="28" spans="1:22" ht="15.75">
      <c r="A28" s="27" t="str">
        <f>O6</f>
        <v>d</v>
      </c>
      <c r="B28" s="5">
        <f>IF(S6&lt;=30,Q6,Q6+1)</f>
        <v>11</v>
      </c>
      <c r="C28" s="45" t="s">
        <v>35</v>
      </c>
      <c r="D28" s="6">
        <f>IF(S6&lt;=30,S6,S6-60)</f>
        <v>9.8</v>
      </c>
      <c r="E28" s="7" t="s">
        <v>5</v>
      </c>
      <c r="F28" s="5" t="str">
        <f>U6</f>
        <v>S</v>
      </c>
      <c r="G28" s="13"/>
      <c r="H28" s="27" t="s">
        <v>18</v>
      </c>
      <c r="I28" s="13"/>
      <c r="J28" s="5"/>
      <c r="K28" s="5"/>
      <c r="L28" s="6">
        <f>COS(RADIANS(Q27))*D27</f>
        <v>-8.756988553086536</v>
      </c>
      <c r="M28" s="7" t="s">
        <v>5</v>
      </c>
      <c r="N28" s="13"/>
      <c r="O28" s="27" t="s">
        <v>18</v>
      </c>
      <c r="P28" s="13"/>
      <c r="Q28" s="122">
        <f>(TAN(RADIANS(J27))*SIN(RADIANS(Q27))*D27)/60</f>
        <v>0.1331936020378724</v>
      </c>
      <c r="R28" s="122"/>
      <c r="S28" s="45" t="s">
        <v>35</v>
      </c>
      <c r="T28" s="13"/>
      <c r="U28" s="13"/>
      <c r="V28" s="13"/>
    </row>
    <row r="29" spans="1:22" ht="15.75">
      <c r="A29" s="62" t="str">
        <f>H12</f>
        <v>tm</v>
      </c>
      <c r="B29" s="5">
        <f>IF(IF(L13=" ",L12,L13)&lt;30,IF(J13=" ",J12,J13),IF(J13=" ",J12,J13)+1)</f>
        <v>45</v>
      </c>
      <c r="C29" s="45" t="s">
        <v>35</v>
      </c>
      <c r="D29" s="6">
        <f>IF(IF(L13=" ",L12,L13)&lt;30,IF(L13=" ",L12,L13),IF(L13=" ",L12,L13)-60)</f>
        <v>-29.299999999999997</v>
      </c>
      <c r="E29" s="7" t="s">
        <v>5</v>
      </c>
      <c r="F29" s="5" t="str">
        <f>IF(N13=" ",N12,N13)</f>
        <v>E</v>
      </c>
      <c r="G29" s="13"/>
      <c r="H29" s="27" t="s">
        <v>10</v>
      </c>
      <c r="I29" s="13"/>
      <c r="J29" s="5"/>
      <c r="K29" s="5"/>
      <c r="L29" s="6">
        <f>COS(RADIANS(B30))*D28</f>
        <v>-6.42937848410697</v>
      </c>
      <c r="M29" s="7" t="s">
        <v>5</v>
      </c>
      <c r="N29" s="13"/>
      <c r="O29" s="27" t="s">
        <v>10</v>
      </c>
      <c r="P29" s="13"/>
      <c r="Q29" s="122">
        <f>-(COS(RADIANS(B27))*D28*POWER(SIN(RADIANS(Q27)),2)/(SIN(RADIANS(B29))*POWER(COS(RADIANS(B28)),2)))/60</f>
        <v>-0.14668450546669717</v>
      </c>
      <c r="R29" s="122"/>
      <c r="S29" s="45" t="s">
        <v>35</v>
      </c>
      <c r="T29" s="13"/>
      <c r="U29" s="13"/>
      <c r="V29" s="13"/>
    </row>
    <row r="30" spans="1:22" ht="15.75">
      <c r="A30" s="62" t="s">
        <v>23</v>
      </c>
      <c r="B30" s="5">
        <f>IF(F27=F28,IF(Tables!K2&lt;0,180+Tables!K2,Tables!K2),180-IF(Tables!K2&lt;0,180+Tables!K2,Tables!K2))</f>
        <v>131</v>
      </c>
      <c r="C30" s="45" t="s">
        <v>35</v>
      </c>
      <c r="D30" s="5"/>
      <c r="E30" s="5"/>
      <c r="F30" s="5"/>
      <c r="G30" s="13"/>
      <c r="H30" s="27" t="s">
        <v>19</v>
      </c>
      <c r="I30" s="13"/>
      <c r="J30" s="5"/>
      <c r="K30" s="5"/>
      <c r="L30" s="6">
        <f>-SIN(RADIANS(Q27))*COS(RADIANS(B27))*D29</f>
        <v>21.729088023366764</v>
      </c>
      <c r="M30" s="7" t="s">
        <v>5</v>
      </c>
      <c r="N30" s="13"/>
      <c r="O30" s="27" t="s">
        <v>19</v>
      </c>
      <c r="P30" s="13"/>
      <c r="Q30" s="122">
        <f>((COS(RADIANS(B27))*TAN(RADIANS(J27))*COS(RADIANS(Q27))-SIN(RADIANS(B27)))*D29)/60</f>
        <v>0.3690202744803642</v>
      </c>
      <c r="R30" s="122"/>
      <c r="S30" s="45" t="s">
        <v>35</v>
      </c>
      <c r="T30" s="13"/>
      <c r="U30" s="13"/>
      <c r="V30" s="13"/>
    </row>
    <row r="31" spans="1:22" ht="15.75">
      <c r="A31" s="13"/>
      <c r="B31" s="13"/>
      <c r="C31" s="13"/>
      <c r="D31" s="13"/>
      <c r="E31" s="13"/>
      <c r="F31" s="13"/>
      <c r="G31" s="13"/>
      <c r="H31" s="63" t="s">
        <v>20</v>
      </c>
      <c r="I31" s="25"/>
      <c r="J31" s="98">
        <f>IF(SUM(L27:L30)&gt;=60,J27+1,IF(SUM(L27:L30)&lt;0,J27-1,J27))</f>
        <v>32</v>
      </c>
      <c r="K31" s="99" t="s">
        <v>35</v>
      </c>
      <c r="L31" s="2">
        <f>ROUND(IF(SUM(L27:L30)&gt;=60,SUM(L27:L30)-60,IF(SUM(L27:L30)&lt;0,SUM(L27:L30)+60,SUM(L27:L30))),1)</f>
        <v>48.4</v>
      </c>
      <c r="M31" s="3" t="s">
        <v>5</v>
      </c>
      <c r="N31" s="13"/>
      <c r="O31" s="63" t="s">
        <v>22</v>
      </c>
      <c r="P31" s="25"/>
      <c r="Q31" s="124">
        <f>ROUND(SUM(Q27:R30),1)</f>
        <v>124.8</v>
      </c>
      <c r="R31" s="124"/>
      <c r="S31" s="1" t="str">
        <f>CONCATENATE(F27,F29)</f>
        <v>NE</v>
      </c>
      <c r="T31" s="13"/>
      <c r="U31" s="13"/>
      <c r="V31" s="13"/>
    </row>
    <row r="32" spans="1:22" ht="13.5">
      <c r="A32" s="13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/>
      <c r="P32" s="13"/>
      <c r="Q32" s="12"/>
      <c r="R32" s="12"/>
      <c r="S32" s="13"/>
      <c r="T32" s="13"/>
      <c r="U32" s="13"/>
      <c r="V32" s="1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5.75">
      <c r="A34" s="13"/>
      <c r="B34" s="13"/>
      <c r="C34" s="13"/>
      <c r="D34" s="13"/>
      <c r="E34" s="13"/>
      <c r="F34" s="13"/>
      <c r="G34" s="13"/>
      <c r="H34" s="21" t="s">
        <v>22</v>
      </c>
      <c r="I34" s="13"/>
      <c r="J34" s="122">
        <f>IF(S31="ne",Q31,IF(S31="sw",180+Q31,IF(S31="SE",180-Q31,360-Q31)))</f>
        <v>124.8</v>
      </c>
      <c r="K34" s="122"/>
      <c r="L34" s="45" t="s">
        <v>35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.75">
      <c r="A35" s="13"/>
      <c r="B35" s="13"/>
      <c r="C35" s="13"/>
      <c r="D35" s="13"/>
      <c r="E35" s="13"/>
      <c r="F35" s="13"/>
      <c r="G35" s="13"/>
      <c r="H35" s="21" t="s">
        <v>24</v>
      </c>
      <c r="I35" s="13"/>
      <c r="J35" s="122">
        <f>ROUND((J23+L23/60-J24-L24/60)*60,1)</f>
        <v>0.8</v>
      </c>
      <c r="K35" s="122"/>
      <c r="L35" s="95" t="s">
        <v>69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.75">
      <c r="A36" s="13"/>
      <c r="B36" s="13"/>
      <c r="C36" s="13"/>
      <c r="D36" s="13"/>
      <c r="E36" s="13"/>
      <c r="F36" s="13"/>
      <c r="G36" s="13"/>
      <c r="H36" s="31"/>
      <c r="I36" s="13"/>
      <c r="J36" s="20"/>
      <c r="K36" s="2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.75">
      <c r="A37" s="13"/>
      <c r="B37" s="13"/>
      <c r="C37" s="13"/>
      <c r="D37" s="13"/>
      <c r="E37" s="13"/>
      <c r="F37" s="13"/>
      <c r="G37" s="13"/>
      <c r="H37" s="31"/>
      <c r="I37" s="13"/>
      <c r="J37" s="20"/>
      <c r="K37" s="20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.75">
      <c r="A38" s="13"/>
      <c r="B38" s="13"/>
      <c r="C38" s="13"/>
      <c r="D38" s="13"/>
      <c r="E38" s="13"/>
      <c r="F38" s="13"/>
      <c r="G38" s="13"/>
      <c r="H38" s="31"/>
      <c r="I38" s="13"/>
      <c r="J38" s="20"/>
      <c r="K38" s="20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2" customFormat="1" ht="15.75">
      <c r="A39" s="13"/>
      <c r="B39" s="13"/>
      <c r="C39" s="13"/>
      <c r="D39" s="13"/>
      <c r="E39" s="13"/>
      <c r="F39" s="13"/>
      <c r="G39" s="13"/>
      <c r="H39" s="31"/>
      <c r="I39" s="13"/>
      <c r="J39" s="20"/>
      <c r="K39" s="20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5.75">
      <c r="A40" s="13"/>
      <c r="B40" s="13"/>
      <c r="C40" s="13"/>
      <c r="D40" s="13"/>
      <c r="E40" s="13"/>
      <c r="F40" s="13"/>
      <c r="G40" s="13"/>
      <c r="H40" s="31"/>
      <c r="I40" s="13"/>
      <c r="J40" s="20"/>
      <c r="K40" s="20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5.75">
      <c r="A41" s="13"/>
      <c r="B41" s="13"/>
      <c r="C41" s="13"/>
      <c r="D41" s="13"/>
      <c r="E41" s="13"/>
      <c r="F41" s="13"/>
      <c r="G41" s="13"/>
      <c r="H41" s="31"/>
      <c r="I41" s="13"/>
      <c r="J41" s="20"/>
      <c r="K41" s="2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4.25" customHeight="1">
      <c r="A42" s="13"/>
      <c r="B42" s="13"/>
      <c r="C42" s="13"/>
      <c r="D42" s="13"/>
      <c r="E42" s="13"/>
      <c r="F42" s="13"/>
      <c r="G42" s="13"/>
      <c r="H42" s="31"/>
      <c r="I42" s="13"/>
      <c r="J42" s="20"/>
      <c r="K42" s="20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5.75">
      <c r="A43" s="13"/>
      <c r="B43" s="13"/>
      <c r="C43" s="13"/>
      <c r="D43" s="13"/>
      <c r="E43" s="13"/>
      <c r="F43" s="13"/>
      <c r="G43" s="13"/>
      <c r="H43" s="31"/>
      <c r="I43" s="13"/>
      <c r="J43" s="20"/>
      <c r="K43" s="2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.75">
      <c r="A44" s="13"/>
      <c r="B44" s="13"/>
      <c r="C44" s="13"/>
      <c r="D44" s="13"/>
      <c r="E44" s="13"/>
      <c r="F44" s="13"/>
      <c r="G44" s="13"/>
      <c r="H44" s="31"/>
      <c r="I44" s="13"/>
      <c r="J44" s="20"/>
      <c r="K44" s="2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5.75">
      <c r="A45" s="13"/>
      <c r="B45" s="13"/>
      <c r="C45" s="13"/>
      <c r="D45" s="13"/>
      <c r="E45" s="13"/>
      <c r="F45" s="13"/>
      <c r="G45" s="13"/>
      <c r="H45" s="31"/>
      <c r="I45" s="13"/>
      <c r="J45" s="20"/>
      <c r="K45" s="2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3"/>
      <c r="U46" s="13"/>
      <c r="V46" s="13"/>
    </row>
    <row r="47" spans="1:22" ht="13.5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3"/>
      <c r="U47" s="13"/>
      <c r="V47" s="13"/>
    </row>
    <row r="48" spans="1:22" ht="18">
      <c r="A48" s="12"/>
      <c r="B48" s="118" t="s">
        <v>100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2"/>
      <c r="T48" s="12"/>
      <c r="U48" s="12"/>
      <c r="V48" s="13"/>
    </row>
    <row r="49" spans="1:22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</row>
    <row r="50" spans="1:22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</row>
    <row r="51" spans="1:22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</row>
    <row r="52" spans="1:22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6"/>
      <c r="T52" s="12"/>
      <c r="U52" s="12"/>
      <c r="V52" s="13"/>
    </row>
    <row r="53" spans="1:22" ht="15.75">
      <c r="A53" s="17" t="s">
        <v>3</v>
      </c>
      <c r="B53" s="129">
        <f>Data!H28</f>
        <v>36859</v>
      </c>
      <c r="C53" s="129"/>
      <c r="D53" s="129"/>
      <c r="E53" s="123" t="s">
        <v>8</v>
      </c>
      <c r="F53" s="123"/>
      <c r="G53" s="12"/>
      <c r="H53" s="59" t="s">
        <v>54</v>
      </c>
      <c r="I53" s="96"/>
      <c r="J53" s="5">
        <f>Data!H33</f>
        <v>233</v>
      </c>
      <c r="K53" s="5" t="s">
        <v>35</v>
      </c>
      <c r="L53" s="6">
        <f>Data!I33</f>
        <v>38.1</v>
      </c>
      <c r="M53" s="7" t="s">
        <v>5</v>
      </c>
      <c r="N53" s="5" t="s">
        <v>7</v>
      </c>
      <c r="O53" s="19" t="s">
        <v>9</v>
      </c>
      <c r="P53" s="13"/>
      <c r="Q53" s="5">
        <f>Data!H38</f>
        <v>89</v>
      </c>
      <c r="R53" s="5" t="s">
        <v>35</v>
      </c>
      <c r="S53" s="6">
        <f>Data!I38</f>
        <v>16.2</v>
      </c>
      <c r="T53" s="7" t="s">
        <v>5</v>
      </c>
      <c r="U53" s="5" t="str">
        <f>Data!J38</f>
        <v>N</v>
      </c>
      <c r="V53" s="13"/>
    </row>
    <row r="54" spans="1:22" ht="15.75">
      <c r="A54" s="17" t="s">
        <v>0</v>
      </c>
      <c r="B54" s="130">
        <f>Data!H29</f>
        <v>0.4996527777777778</v>
      </c>
      <c r="C54" s="130"/>
      <c r="D54" s="130"/>
      <c r="E54" s="123" t="s">
        <v>8</v>
      </c>
      <c r="F54" s="123"/>
      <c r="G54" s="12"/>
      <c r="H54" s="67" t="s">
        <v>53</v>
      </c>
      <c r="I54" s="90"/>
      <c r="J54" s="69">
        <f>Data!H34</f>
        <v>14</v>
      </c>
      <c r="K54" s="69" t="s">
        <v>35</v>
      </c>
      <c r="L54" s="70">
        <f>Data!I34</f>
        <v>54.9</v>
      </c>
      <c r="M54" s="71" t="s">
        <v>5</v>
      </c>
      <c r="N54" s="69"/>
      <c r="O54" s="80"/>
      <c r="P54" s="81"/>
      <c r="Q54" s="54"/>
      <c r="R54" s="54"/>
      <c r="S54" s="54"/>
      <c r="T54" s="82"/>
      <c r="U54" s="54"/>
      <c r="V54" s="13"/>
    </row>
    <row r="55" spans="1:22" ht="15.75">
      <c r="A55" s="64" t="s">
        <v>1</v>
      </c>
      <c r="B55" s="72">
        <f>Data!B28</f>
        <v>26</v>
      </c>
      <c r="C55" s="5" t="s">
        <v>35</v>
      </c>
      <c r="D55" s="73">
        <f>Data!C28</f>
        <v>15.5</v>
      </c>
      <c r="E55" s="74" t="s">
        <v>5</v>
      </c>
      <c r="F55" s="5" t="str">
        <f>Data!D28</f>
        <v>N</v>
      </c>
      <c r="G55" s="12"/>
      <c r="H55" s="59" t="s">
        <v>61</v>
      </c>
      <c r="I55" s="96"/>
      <c r="J55" s="5">
        <f>IF(L53+L54&gt;60,IF(J53+J54&gt;=359,J53+J54-359,J53+J54+1),IF(J53+J54&gt;=360,J53+J54-360,J53+J54))</f>
        <v>248</v>
      </c>
      <c r="K55" s="5" t="s">
        <v>35</v>
      </c>
      <c r="L55" s="6">
        <f>IF(L53+L54&gt;=60,L53+L54-60,L53+L54)</f>
        <v>33</v>
      </c>
      <c r="M55" s="7" t="s">
        <v>5</v>
      </c>
      <c r="N55" s="5" t="s">
        <v>7</v>
      </c>
      <c r="O55" s="80"/>
      <c r="P55" s="81"/>
      <c r="Q55" s="54"/>
      <c r="R55" s="54"/>
      <c r="S55" s="83"/>
      <c r="T55" s="82"/>
      <c r="U55" s="54"/>
      <c r="V55" s="13"/>
    </row>
    <row r="56" spans="1:22" ht="15.75">
      <c r="A56" s="64" t="s">
        <v>2</v>
      </c>
      <c r="B56" s="72">
        <f>Data!B29</f>
        <v>91</v>
      </c>
      <c r="C56" s="5" t="s">
        <v>35</v>
      </c>
      <c r="D56" s="73">
        <f>Data!C29</f>
        <v>28.9</v>
      </c>
      <c r="E56" s="75" t="s">
        <v>5</v>
      </c>
      <c r="F56" s="5" t="str">
        <f>Data!D29</f>
        <v>W</v>
      </c>
      <c r="G56" s="12"/>
      <c r="H56" s="60" t="s">
        <v>2</v>
      </c>
      <c r="I56" s="96"/>
      <c r="J56" s="5">
        <f>B56</f>
        <v>91</v>
      </c>
      <c r="K56" s="5" t="s">
        <v>35</v>
      </c>
      <c r="L56" s="6">
        <f>D56</f>
        <v>28.9</v>
      </c>
      <c r="M56" s="7" t="s">
        <v>5</v>
      </c>
      <c r="N56" s="5" t="str">
        <f>F56</f>
        <v>W</v>
      </c>
      <c r="O56" s="12"/>
      <c r="P56" s="12"/>
      <c r="Q56" s="12"/>
      <c r="R56" s="12"/>
      <c r="S56" s="12"/>
      <c r="T56" s="12"/>
      <c r="U56" s="12"/>
      <c r="V56" s="13"/>
    </row>
    <row r="57" spans="1:22" ht="15.75">
      <c r="A57" s="57" t="s">
        <v>4</v>
      </c>
      <c r="B57" s="72">
        <f>Data!B31</f>
        <v>26</v>
      </c>
      <c r="C57" s="5" t="s">
        <v>35</v>
      </c>
      <c r="D57" s="73">
        <f>Data!C31</f>
        <v>1.2</v>
      </c>
      <c r="E57" s="7" t="s">
        <v>5</v>
      </c>
      <c r="F57" s="5"/>
      <c r="G57" s="12"/>
      <c r="H57" s="61" t="s">
        <v>62</v>
      </c>
      <c r="I57" s="97"/>
      <c r="J57" s="1">
        <f>IF(N56="E",IF(L55+L56&gt;60,IF(J55+J56&gt;=359,J55+J56-359,J55+J56+1),IF(J55+J56&gt;=360,J55+J56-360,J55+J56)),IF(L55-L56&lt;0,IF(J56&gt;=J55,J55-J56+359,J55-J56-1),IF(J56&gt;=J55,J55-J56+360,J55-J56)))</f>
        <v>157</v>
      </c>
      <c r="K57" s="1" t="s">
        <v>35</v>
      </c>
      <c r="L57" s="2">
        <f>IF(N56="E",IF(L55+L56&lt;60,L55+L56,L55+L56-60),IF(L55-L56&lt;0,L55-L56+60,L55-L56))</f>
        <v>4.100000000000001</v>
      </c>
      <c r="M57" s="3" t="s">
        <v>5</v>
      </c>
      <c r="N57" s="1" t="s">
        <v>7</v>
      </c>
      <c r="O57" s="12"/>
      <c r="P57" s="12"/>
      <c r="Q57" s="12"/>
      <c r="R57" s="12"/>
      <c r="S57" s="12"/>
      <c r="T57" s="12"/>
      <c r="U57" s="12"/>
      <c r="V57" s="13"/>
    </row>
    <row r="58" spans="1:22" ht="15.75">
      <c r="A58" s="17" t="s">
        <v>11</v>
      </c>
      <c r="B58" s="5"/>
      <c r="C58" s="5"/>
      <c r="D58" s="6">
        <f>Data!C33</f>
        <v>3</v>
      </c>
      <c r="E58" s="7" t="s">
        <v>5</v>
      </c>
      <c r="F58" s="5"/>
      <c r="G58" s="12"/>
      <c r="H58" s="79" t="s">
        <v>28</v>
      </c>
      <c r="I58" s="90"/>
      <c r="J58" s="92">
        <f>Data!H40</f>
        <v>321</v>
      </c>
      <c r="K58" s="54" t="s">
        <v>35</v>
      </c>
      <c r="L58" s="112">
        <f>Data!I40</f>
        <v>31.2</v>
      </c>
      <c r="M58" s="7" t="s">
        <v>5</v>
      </c>
      <c r="N58" s="92"/>
      <c r="O58" s="12"/>
      <c r="P58" s="12"/>
      <c r="Q58" s="12"/>
      <c r="R58" s="12"/>
      <c r="S58" s="12"/>
      <c r="T58" s="12"/>
      <c r="U58" s="12"/>
      <c r="V58" s="13"/>
    </row>
    <row r="59" spans="1:22" ht="15.75">
      <c r="A59" s="17" t="s">
        <v>15</v>
      </c>
      <c r="B59" s="5"/>
      <c r="C59" s="5"/>
      <c r="D59" s="6">
        <f>Data!C32</f>
        <v>0</v>
      </c>
      <c r="E59" s="7" t="s">
        <v>5</v>
      </c>
      <c r="F59" s="5"/>
      <c r="G59" s="12"/>
      <c r="H59" s="77" t="s">
        <v>63</v>
      </c>
      <c r="I59" s="91"/>
      <c r="J59" s="22">
        <f>IF(L57+L58&gt;=60,IF(J57+J58&gt;=359,J57+J58-359,J57+J58+1),IF(J57+J58&gt;=360,J57+J58-360,J57+J58))</f>
        <v>118</v>
      </c>
      <c r="K59" s="1" t="s">
        <v>35</v>
      </c>
      <c r="L59" s="6">
        <f>IF(L57+L58&gt;=60,L57+L58-60,L57+L58)</f>
        <v>35.3</v>
      </c>
      <c r="M59" s="3" t="s">
        <v>5</v>
      </c>
      <c r="N59" s="5" t="s">
        <v>7</v>
      </c>
      <c r="O59" s="12"/>
      <c r="P59" s="12"/>
      <c r="Q59" s="12"/>
      <c r="R59" s="12"/>
      <c r="S59" s="12"/>
      <c r="T59" s="12"/>
      <c r="U59" s="12"/>
      <c r="V59" s="13"/>
    </row>
    <row r="60" spans="1:22" ht="15.75">
      <c r="A60" s="17" t="s">
        <v>13</v>
      </c>
      <c r="B60" s="5"/>
      <c r="C60" s="5"/>
      <c r="D60" s="6">
        <f>Data!C34</f>
        <v>25</v>
      </c>
      <c r="E60" s="123" t="s">
        <v>14</v>
      </c>
      <c r="F60" s="123"/>
      <c r="G60" s="23"/>
      <c r="H60" s="78"/>
      <c r="I60" s="12"/>
      <c r="J60" s="22" t="str">
        <f>IF(J59&gt;=180,359-J59," ")</f>
        <v> </v>
      </c>
      <c r="K60" s="5" t="str">
        <f>IF(J60=" "," ","º")</f>
        <v> </v>
      </c>
      <c r="L60" s="6" t="str">
        <f>IF(J59&gt;=180,60-L59," ")</f>
        <v> </v>
      </c>
      <c r="M60" s="5" t="str">
        <f>IF(J60=" "," ","'")</f>
        <v> </v>
      </c>
      <c r="N60" s="5" t="str">
        <f>IF(J60=" "," ","E")</f>
        <v> </v>
      </c>
      <c r="O60" s="12"/>
      <c r="P60" s="12"/>
      <c r="Q60" s="12"/>
      <c r="R60" s="12"/>
      <c r="S60" s="12"/>
      <c r="T60" s="12"/>
      <c r="U60" s="12"/>
      <c r="V60" s="13"/>
    </row>
    <row r="61" spans="1:22" ht="13.5">
      <c r="A61" s="58" t="s">
        <v>28</v>
      </c>
      <c r="B61" s="5"/>
      <c r="C61" s="5"/>
      <c r="D61" s="6">
        <f>Data!C35</f>
        <v>18</v>
      </c>
      <c r="E61" s="5" t="s">
        <v>35</v>
      </c>
      <c r="F61" s="5" t="s">
        <v>42</v>
      </c>
      <c r="G61" s="13"/>
      <c r="H61" s="12"/>
      <c r="I61" s="12"/>
      <c r="J61" s="12"/>
      <c r="K61" s="12"/>
      <c r="L61" s="12"/>
      <c r="M61" s="12"/>
      <c r="N61" s="12"/>
      <c r="O61" s="13"/>
      <c r="P61" s="13"/>
      <c r="Q61" s="13"/>
      <c r="R61" s="13"/>
      <c r="S61" s="13"/>
      <c r="T61" s="13"/>
      <c r="U61" s="13"/>
      <c r="V61" s="13"/>
    </row>
    <row r="62" spans="1:22" ht="15.75">
      <c r="A62" s="57" t="s">
        <v>29</v>
      </c>
      <c r="B62" s="5"/>
      <c r="C62" s="5"/>
      <c r="D62" s="5">
        <f>Data!C36</f>
        <v>769</v>
      </c>
      <c r="E62" s="123" t="s">
        <v>60</v>
      </c>
      <c r="F62" s="123"/>
      <c r="G62" s="13"/>
      <c r="H62" s="62" t="str">
        <f>A57</f>
        <v>ОС</v>
      </c>
      <c r="I62" s="13"/>
      <c r="J62" s="5">
        <f>B57</f>
        <v>26</v>
      </c>
      <c r="K62" s="45" t="s">
        <v>35</v>
      </c>
      <c r="L62" s="6">
        <f>D57</f>
        <v>1.2</v>
      </c>
      <c r="M62" s="7" t="s">
        <v>5</v>
      </c>
      <c r="N62" s="10"/>
      <c r="O62" s="13"/>
      <c r="P62" s="13"/>
      <c r="Q62" s="13"/>
      <c r="R62" s="13"/>
      <c r="S62" s="13"/>
      <c r="T62" s="13"/>
      <c r="U62" s="13"/>
      <c r="V62" s="13"/>
    </row>
    <row r="63" spans="1:22" ht="15.75">
      <c r="A63" s="17" t="s">
        <v>50</v>
      </c>
      <c r="B63" s="5"/>
      <c r="C63" s="5"/>
      <c r="D63" s="76">
        <f>Data!C37</f>
        <v>284</v>
      </c>
      <c r="E63" s="5" t="s">
        <v>35</v>
      </c>
      <c r="F63" s="5"/>
      <c r="G63" s="13"/>
      <c r="H63" s="62" t="str">
        <f>A58</f>
        <v>i</v>
      </c>
      <c r="I63" s="13"/>
      <c r="J63" s="5"/>
      <c r="K63" s="5"/>
      <c r="L63" s="6">
        <f>D58</f>
        <v>3</v>
      </c>
      <c r="M63" s="7" t="s">
        <v>5</v>
      </c>
      <c r="N63" s="10"/>
      <c r="O63" s="13"/>
      <c r="P63" s="13"/>
      <c r="Q63" s="13"/>
      <c r="R63" s="13"/>
      <c r="S63" s="13"/>
      <c r="T63" s="13"/>
      <c r="U63" s="13"/>
      <c r="V63" s="13"/>
    </row>
    <row r="64" spans="1:22" ht="15.75">
      <c r="A64" s="17" t="s">
        <v>51</v>
      </c>
      <c r="B64" s="5"/>
      <c r="C64" s="5"/>
      <c r="D64" s="76">
        <f>Data!C38</f>
        <v>13.2</v>
      </c>
      <c r="E64" s="127" t="s">
        <v>52</v>
      </c>
      <c r="F64" s="127"/>
      <c r="G64" s="13"/>
      <c r="H64" s="62" t="str">
        <f>A59</f>
        <v>s</v>
      </c>
      <c r="I64" s="13"/>
      <c r="J64" s="5"/>
      <c r="K64" s="5"/>
      <c r="L64" s="6">
        <f>D59</f>
        <v>0</v>
      </c>
      <c r="M64" s="7" t="s">
        <v>5</v>
      </c>
      <c r="N64" s="10"/>
      <c r="O64" s="13"/>
      <c r="P64" s="13"/>
      <c r="Q64" s="13"/>
      <c r="R64" s="13"/>
      <c r="S64" s="13"/>
      <c r="T64" s="13"/>
      <c r="U64" s="13"/>
      <c r="V64" s="13"/>
    </row>
    <row r="65" spans="1:22" ht="15.75">
      <c r="A65" s="114" t="str">
        <f>Data!A39</f>
        <v>Star sighted</v>
      </c>
      <c r="B65" s="114"/>
      <c r="C65" s="114"/>
      <c r="D65" s="114"/>
      <c r="E65" s="114"/>
      <c r="F65" s="114"/>
      <c r="G65" s="13"/>
      <c r="H65" s="62" t="s">
        <v>12</v>
      </c>
      <c r="I65" s="13"/>
      <c r="J65" s="5"/>
      <c r="K65" s="5"/>
      <c r="L65" s="6">
        <f>-ROUND(1.7603*SQRT(D60),1)</f>
        <v>-8.8</v>
      </c>
      <c r="M65" s="7" t="s">
        <v>5</v>
      </c>
      <c r="N65" s="10"/>
      <c r="O65" s="24"/>
      <c r="P65" s="13"/>
      <c r="Q65" s="13"/>
      <c r="R65" s="13"/>
      <c r="S65" s="13"/>
      <c r="T65" s="13"/>
      <c r="U65" s="13"/>
      <c r="V65" s="13"/>
    </row>
    <row r="66" spans="1:22" ht="15.75">
      <c r="A66" s="109" t="str">
        <f>Data!A40</f>
        <v>a</v>
      </c>
      <c r="B66" s="128" t="str">
        <f>Data!B40</f>
        <v>Ursa Minoris</v>
      </c>
      <c r="C66" s="128"/>
      <c r="D66" s="128"/>
      <c r="E66" s="128"/>
      <c r="F66" s="128"/>
      <c r="G66" s="13"/>
      <c r="H66" s="62" t="s">
        <v>64</v>
      </c>
      <c r="I66" s="13"/>
      <c r="J66" s="5"/>
      <c r="K66" s="5"/>
      <c r="L66" s="6">
        <f>Tables!G18</f>
        <v>-1.89999999999996</v>
      </c>
      <c r="M66" s="7" t="s">
        <v>5</v>
      </c>
      <c r="N66" s="10"/>
      <c r="O66" s="13"/>
      <c r="P66" s="13"/>
      <c r="Q66" s="13"/>
      <c r="R66" s="13"/>
      <c r="S66" s="13"/>
      <c r="T66" s="13"/>
      <c r="U66" s="13"/>
      <c r="V66" s="13"/>
    </row>
    <row r="67" spans="1:22" ht="15.75">
      <c r="A67" s="13"/>
      <c r="B67" s="128" t="str">
        <f>Data!B41</f>
        <v>Polaris</v>
      </c>
      <c r="C67" s="128"/>
      <c r="D67" s="128"/>
      <c r="E67" s="128"/>
      <c r="F67" s="128"/>
      <c r="G67" s="13"/>
      <c r="H67" s="62" t="s">
        <v>43</v>
      </c>
      <c r="I67" s="13"/>
      <c r="J67" s="5"/>
      <c r="K67" s="5"/>
      <c r="L67" s="6">
        <f>Data!H44</f>
        <v>0.1</v>
      </c>
      <c r="M67" s="7" t="s">
        <v>5</v>
      </c>
      <c r="N67" s="10"/>
      <c r="O67" s="13"/>
      <c r="P67" s="13"/>
      <c r="Q67" s="13"/>
      <c r="R67" s="13"/>
      <c r="S67" s="13"/>
      <c r="T67" s="13"/>
      <c r="U67" s="13"/>
      <c r="V67" s="13"/>
    </row>
    <row r="68" spans="1:22" ht="15.75">
      <c r="A68" s="13"/>
      <c r="B68" s="13"/>
      <c r="C68" s="13"/>
      <c r="D68" s="13"/>
      <c r="E68" s="13"/>
      <c r="F68" s="13"/>
      <c r="G68" s="13"/>
      <c r="H68" s="63" t="s">
        <v>65</v>
      </c>
      <c r="I68" s="25"/>
      <c r="J68" s="98">
        <f>IF(SUM(L62:L67)&gt;=60,J62+1,IF(SUM(L62:L67)&lt;0,J62-1,J62))</f>
        <v>25</v>
      </c>
      <c r="K68" s="99" t="s">
        <v>35</v>
      </c>
      <c r="L68" s="2">
        <f>IF(SUM(L62:L67)&gt;=60,SUM(L62:L67)-60,IF(SUM(L62:L67)&lt;0,SUM(L62:L67)+60,SUM(L62:L67)))</f>
        <v>53.60000000000004</v>
      </c>
      <c r="M68" s="3" t="s">
        <v>5</v>
      </c>
      <c r="N68" s="26"/>
      <c r="O68" s="13"/>
      <c r="P68" s="13"/>
      <c r="Q68" s="13"/>
      <c r="R68" s="13"/>
      <c r="S68" s="13"/>
      <c r="T68" s="13"/>
      <c r="U68" s="13"/>
      <c r="V68" s="13"/>
    </row>
    <row r="69" spans="1:22" ht="15.75">
      <c r="A69" s="13"/>
      <c r="B69" s="13"/>
      <c r="C69" s="13"/>
      <c r="D69" s="13"/>
      <c r="E69" s="13"/>
      <c r="F69" s="13"/>
      <c r="G69" s="13"/>
      <c r="H69" s="85" t="s">
        <v>66</v>
      </c>
      <c r="I69" s="28"/>
      <c r="J69" s="100"/>
      <c r="K69" s="92"/>
      <c r="L69" s="70">
        <f>Tables!J15</f>
        <v>0.1</v>
      </c>
      <c r="M69" s="71" t="s">
        <v>5</v>
      </c>
      <c r="N69" s="29"/>
      <c r="O69" s="13"/>
      <c r="P69" s="13"/>
      <c r="Q69" s="13"/>
      <c r="R69" s="13"/>
      <c r="S69" s="13"/>
      <c r="T69" s="13"/>
      <c r="U69" s="13"/>
      <c r="V69" s="13"/>
    </row>
    <row r="70" spans="1:22" ht="15.75">
      <c r="A70" s="13"/>
      <c r="B70" s="13"/>
      <c r="C70" s="13"/>
      <c r="D70" s="13"/>
      <c r="E70" s="13"/>
      <c r="F70" s="13"/>
      <c r="G70" s="13"/>
      <c r="H70" s="63" t="s">
        <v>16</v>
      </c>
      <c r="I70" s="81"/>
      <c r="J70" s="101">
        <f>IF(L68+L69&gt;=60,J68+1,IF(L68+L69&lt;0,J68-1,J68))</f>
        <v>25</v>
      </c>
      <c r="K70" s="99" t="s">
        <v>35</v>
      </c>
      <c r="L70" s="83">
        <f>IF(L68+L69&gt;=60,L68+L69-60,IF(L68+L69&lt;0,L68+L69+60,L68+L69))</f>
        <v>53.70000000000004</v>
      </c>
      <c r="M70" s="3" t="s">
        <v>5</v>
      </c>
      <c r="N70" s="84"/>
      <c r="O70" s="13"/>
      <c r="P70" s="13"/>
      <c r="Q70" s="13"/>
      <c r="R70" s="13"/>
      <c r="S70" s="13"/>
      <c r="T70" s="13"/>
      <c r="U70" s="13"/>
      <c r="V70" s="13"/>
    </row>
    <row r="71" spans="1:22" ht="15.75">
      <c r="A71" s="13"/>
      <c r="B71" s="13"/>
      <c r="C71" s="13"/>
      <c r="D71" s="13"/>
      <c r="E71" s="13"/>
      <c r="F71" s="13"/>
      <c r="G71" s="13"/>
      <c r="H71" s="65" t="s">
        <v>20</v>
      </c>
      <c r="I71" s="28"/>
      <c r="J71" s="100">
        <f>J78</f>
        <v>25</v>
      </c>
      <c r="K71" s="92" t="s">
        <v>35</v>
      </c>
      <c r="L71" s="70">
        <f>L78</f>
        <v>54.4</v>
      </c>
      <c r="M71" s="71" t="s">
        <v>5</v>
      </c>
      <c r="N71" s="29"/>
      <c r="O71" s="13"/>
      <c r="P71" s="13"/>
      <c r="Q71" s="13"/>
      <c r="R71" s="13"/>
      <c r="S71" s="13"/>
      <c r="T71" s="13"/>
      <c r="U71" s="13"/>
      <c r="V71" s="13"/>
    </row>
    <row r="72" spans="1:22" ht="15.75">
      <c r="A72" s="13"/>
      <c r="B72" s="13"/>
      <c r="C72" s="13"/>
      <c r="D72" s="13"/>
      <c r="E72" s="13"/>
      <c r="F72" s="13"/>
      <c r="G72" s="13"/>
      <c r="H72" s="21" t="s">
        <v>24</v>
      </c>
      <c r="I72" s="107" t="str">
        <f>IF(J70+L70/60-J71-L71/60&lt;0,"-"," ")</f>
        <v>-</v>
      </c>
      <c r="J72" s="45">
        <f>TRUNC(J70+L70/60-J71-L71/60,0)</f>
        <v>0</v>
      </c>
      <c r="K72" s="45" t="s">
        <v>35</v>
      </c>
      <c r="L72" s="104">
        <f>ABS(((J70+L70/60-J71-L71/60)-J72)*60)</f>
        <v>0.7000000000000228</v>
      </c>
      <c r="M72" s="7" t="s">
        <v>5</v>
      </c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3.5">
      <c r="A73" s="13"/>
      <c r="B73" s="13"/>
      <c r="C73" s="13"/>
      <c r="D73" s="13"/>
      <c r="E73" s="13"/>
      <c r="F73" s="13"/>
      <c r="G73" s="13"/>
      <c r="H73" s="13"/>
      <c r="I73" s="13"/>
      <c r="J73" s="12"/>
      <c r="K73" s="13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5.75">
      <c r="A74" s="27" t="str">
        <f>A55</f>
        <v>j</v>
      </c>
      <c r="B74" s="5">
        <f>IF(D55&lt;=30,B55,B55+1)</f>
        <v>26</v>
      </c>
      <c r="C74" s="45" t="s">
        <v>35</v>
      </c>
      <c r="D74" s="6">
        <f>IF(D55&lt;=30,D55,D55-60)</f>
        <v>15.5</v>
      </c>
      <c r="E74" s="7" t="s">
        <v>5</v>
      </c>
      <c r="F74" s="5" t="str">
        <f>F55</f>
        <v>N</v>
      </c>
      <c r="G74" s="13"/>
      <c r="H74" s="65" t="s">
        <v>17</v>
      </c>
      <c r="I74" s="28"/>
      <c r="J74" s="69">
        <f>ROUND(TRUNC(ABS(90-Tables!$I$5),0),0)</f>
        <v>25</v>
      </c>
      <c r="K74" s="92" t="s">
        <v>35</v>
      </c>
      <c r="L74" s="70">
        <f>ROUND((ABS(90-Tables!$I$5)-$J$74)*60,1)</f>
        <v>30.7</v>
      </c>
      <c r="M74" s="71" t="s">
        <v>5</v>
      </c>
      <c r="N74" s="13"/>
      <c r="O74" s="65" t="s">
        <v>21</v>
      </c>
      <c r="P74" s="28"/>
      <c r="Q74" s="126">
        <f>IF(Tables!$J$5&lt;0,180+Tables!$J$5,Tables!$J$5)</f>
        <v>1</v>
      </c>
      <c r="R74" s="126"/>
      <c r="S74" s="92" t="s">
        <v>35</v>
      </c>
      <c r="T74" s="13"/>
      <c r="U74" s="13"/>
      <c r="V74" s="13"/>
    </row>
    <row r="75" spans="1:22" ht="15.75">
      <c r="A75" s="27" t="str">
        <f>O53</f>
        <v>d</v>
      </c>
      <c r="B75" s="5">
        <f>IF(S53&lt;=30,Q53,Q53+1)</f>
        <v>89</v>
      </c>
      <c r="C75" s="45" t="s">
        <v>35</v>
      </c>
      <c r="D75" s="6">
        <f>IF(S53&lt;=30,S53,S53-60)</f>
        <v>16.2</v>
      </c>
      <c r="E75" s="7" t="s">
        <v>5</v>
      </c>
      <c r="F75" s="5" t="str">
        <f>U53</f>
        <v>N</v>
      </c>
      <c r="G75" s="13"/>
      <c r="H75" s="27" t="s">
        <v>18</v>
      </c>
      <c r="I75" s="13"/>
      <c r="J75" s="5"/>
      <c r="K75" s="5"/>
      <c r="L75" s="6">
        <f>COS(RADIANS(Q74))*D74</f>
        <v>15.497639274924065</v>
      </c>
      <c r="M75" s="7" t="s">
        <v>5</v>
      </c>
      <c r="N75" s="13"/>
      <c r="O75" s="27" t="s">
        <v>18</v>
      </c>
      <c r="P75" s="13"/>
      <c r="Q75" s="122">
        <f>(TAN(RADIANS(J74))*SIN(RADIANS(Q74))*D74)/60</f>
        <v>0.0021023659501925485</v>
      </c>
      <c r="R75" s="122"/>
      <c r="S75" s="45" t="s">
        <v>35</v>
      </c>
      <c r="T75" s="13"/>
      <c r="U75" s="13"/>
      <c r="V75" s="13"/>
    </row>
    <row r="76" spans="1:22" ht="15.75">
      <c r="A76" s="62" t="str">
        <f>H59</f>
        <v>tm</v>
      </c>
      <c r="B76" s="5">
        <f>IF(IF(L60=" ",L59,L60)&lt;30,IF(J60=" ",J59,J60),IF(J60=" ",J59,J60)+1)</f>
        <v>119</v>
      </c>
      <c r="C76" s="45" t="s">
        <v>35</v>
      </c>
      <c r="D76" s="6">
        <f>IF(IF(L60=" ",L59,L60)&lt;30,IF(L60=" ",L59,L60),IF(L60=" ",L59,L60)-60)</f>
        <v>-24.700000000000003</v>
      </c>
      <c r="E76" s="7" t="s">
        <v>5</v>
      </c>
      <c r="F76" s="5" t="str">
        <f>IF(N60=" ",N59,N60)</f>
        <v>W</v>
      </c>
      <c r="G76" s="13"/>
      <c r="H76" s="27" t="s">
        <v>10</v>
      </c>
      <c r="I76" s="13"/>
      <c r="J76" s="5"/>
      <c r="K76" s="5"/>
      <c r="L76" s="6">
        <f>COS(RADIANS(B77))*D75</f>
        <v>7.853915847990661</v>
      </c>
      <c r="M76" s="7" t="s">
        <v>5</v>
      </c>
      <c r="N76" s="13"/>
      <c r="O76" s="27" t="s">
        <v>10</v>
      </c>
      <c r="P76" s="13"/>
      <c r="Q76" s="122">
        <f>-(COS(RADIANS(B74))*D75*POWER(SIN(RADIANS(Q74)),2)/(SIN(RADIANS(B76))*POWER(COS(RADIANS(B75)),2)))/60</f>
        <v>-0.27746275383444513</v>
      </c>
      <c r="R76" s="122"/>
      <c r="S76" s="45" t="s">
        <v>35</v>
      </c>
      <c r="T76" s="13"/>
      <c r="U76" s="13"/>
      <c r="V76" s="13"/>
    </row>
    <row r="77" spans="1:22" ht="15.75">
      <c r="A77" s="62" t="s">
        <v>23</v>
      </c>
      <c r="B77" s="5">
        <f>IF(F74=F75,IF(Tables!K5&lt;0,180+Tables!K5,Tables!K5),180-IF(Tables!K5&lt;0,180+Tables!K5,Tables!K5))</f>
        <v>61</v>
      </c>
      <c r="C77" s="45" t="s">
        <v>35</v>
      </c>
      <c r="D77" s="5"/>
      <c r="E77" s="5"/>
      <c r="F77" s="5"/>
      <c r="G77" s="13"/>
      <c r="H77" s="27" t="s">
        <v>19</v>
      </c>
      <c r="I77" s="13"/>
      <c r="J77" s="5"/>
      <c r="K77" s="5"/>
      <c r="L77" s="6">
        <f>-SIN(RADIANS(Q74))*COS(RADIANS(B74))*D76</f>
        <v>0.3874471392857649</v>
      </c>
      <c r="M77" s="7" t="s">
        <v>5</v>
      </c>
      <c r="N77" s="13"/>
      <c r="O77" s="27" t="s">
        <v>19</v>
      </c>
      <c r="P77" s="13"/>
      <c r="Q77" s="122">
        <f>((COS(RADIANS(B74))*TAN(RADIANS(J74))*COS(RADIANS(Q74))-SIN(RADIANS(B74)))*D76)/60</f>
        <v>0.007953578280967537</v>
      </c>
      <c r="R77" s="122"/>
      <c r="S77" s="45" t="s">
        <v>35</v>
      </c>
      <c r="T77" s="13"/>
      <c r="U77" s="13"/>
      <c r="V77" s="13"/>
    </row>
    <row r="78" spans="1:22" ht="15.75">
      <c r="A78" s="13"/>
      <c r="B78" s="13"/>
      <c r="C78" s="13"/>
      <c r="D78" s="13"/>
      <c r="E78" s="13"/>
      <c r="F78" s="13"/>
      <c r="G78" s="13"/>
      <c r="H78" s="63" t="s">
        <v>20</v>
      </c>
      <c r="I78" s="25"/>
      <c r="J78" s="98">
        <f>IF(SUM(L74:L77)&gt;=60,J74+1,IF(SUM(L74:L77)&lt;0,J74-1,J74))</f>
        <v>25</v>
      </c>
      <c r="K78" s="99" t="s">
        <v>35</v>
      </c>
      <c r="L78" s="2">
        <f>ROUND(IF(SUM(L74:L77)&gt;=60,SUM(L74:L77)-60,IF(SUM(L74:L77)&lt;0,SUM(L74:L77)+60,SUM(L74:L77))),1)</f>
        <v>54.4</v>
      </c>
      <c r="M78" s="3" t="s">
        <v>5</v>
      </c>
      <c r="N78" s="13"/>
      <c r="O78" s="63" t="s">
        <v>22</v>
      </c>
      <c r="P78" s="25"/>
      <c r="Q78" s="124">
        <f>ROUND(SUM(Q74:R77),1)</f>
        <v>0.7</v>
      </c>
      <c r="R78" s="124"/>
      <c r="S78" s="1" t="str">
        <f>CONCATENATE(F74,F76)</f>
        <v>NW</v>
      </c>
      <c r="T78" s="13"/>
      <c r="U78" s="13"/>
      <c r="V78" s="13"/>
    </row>
    <row r="79" spans="1:22" ht="13.5">
      <c r="A79" s="13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3"/>
      <c r="Q79" s="12"/>
      <c r="R79" s="12"/>
      <c r="S79" s="13"/>
      <c r="T79" s="13"/>
      <c r="U79" s="13"/>
      <c r="V79" s="13"/>
    </row>
    <row r="80" spans="1:22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5.75">
      <c r="A81" s="13"/>
      <c r="B81" s="13"/>
      <c r="C81" s="13"/>
      <c r="D81" s="13"/>
      <c r="E81" s="13"/>
      <c r="F81" s="13"/>
      <c r="G81" s="13"/>
      <c r="H81" s="21" t="s">
        <v>22</v>
      </c>
      <c r="I81" s="13"/>
      <c r="J81" s="122">
        <f>IF(S78="ne",Q78,IF(S78="sw",180+Q78,IF(S78="SE",180-Q78,360-Q78)))</f>
        <v>359.3</v>
      </c>
      <c r="K81" s="122"/>
      <c r="L81" s="45" t="s">
        <v>35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5.75">
      <c r="A82" s="13"/>
      <c r="B82" s="13"/>
      <c r="C82" s="13"/>
      <c r="D82" s="13"/>
      <c r="E82" s="13"/>
      <c r="F82" s="13"/>
      <c r="G82" s="13"/>
      <c r="H82" s="21" t="s">
        <v>24</v>
      </c>
      <c r="I82" s="13"/>
      <c r="J82" s="122">
        <f>ROUND((J70+L70/60-J71-L71/60)*60,1)</f>
        <v>-0.7</v>
      </c>
      <c r="K82" s="122"/>
      <c r="L82" s="95" t="s">
        <v>69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5.75">
      <c r="A83" s="13"/>
      <c r="B83" s="13"/>
      <c r="C83" s="13"/>
      <c r="D83" s="13"/>
      <c r="E83" s="13"/>
      <c r="F83" s="13"/>
      <c r="G83" s="13"/>
      <c r="H83" s="31"/>
      <c r="I83" s="13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5.75">
      <c r="A84" s="13"/>
      <c r="B84" s="13"/>
      <c r="C84" s="13"/>
      <c r="D84" s="13"/>
      <c r="E84" s="13"/>
      <c r="F84" s="13"/>
      <c r="G84" s="13"/>
      <c r="H84" s="31"/>
      <c r="I84" s="13"/>
      <c r="J84" s="20"/>
      <c r="K84" s="2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5.75">
      <c r="A85" s="13"/>
      <c r="B85" s="13"/>
      <c r="C85" s="13"/>
      <c r="D85" s="13"/>
      <c r="E85" s="13"/>
      <c r="F85" s="13"/>
      <c r="G85" s="13"/>
      <c r="H85" s="31"/>
      <c r="I85" s="13"/>
      <c r="J85" s="20"/>
      <c r="K85" s="2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ht="15.75">
      <c r="A86" s="13"/>
      <c r="B86" s="13"/>
      <c r="C86" s="13"/>
      <c r="D86" s="13"/>
      <c r="E86" s="13"/>
      <c r="F86" s="13"/>
      <c r="G86" s="13"/>
      <c r="H86" s="31"/>
      <c r="I86" s="13"/>
      <c r="J86" s="20"/>
      <c r="K86" s="2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ht="15.75">
      <c r="A87" s="13"/>
      <c r="B87" s="13"/>
      <c r="C87" s="13"/>
      <c r="D87" s="13"/>
      <c r="E87" s="13"/>
      <c r="F87" s="13"/>
      <c r="G87" s="13"/>
      <c r="H87" s="31"/>
      <c r="I87" s="13"/>
      <c r="J87" s="20"/>
      <c r="K87" s="2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ht="15.75">
      <c r="A88" s="13"/>
      <c r="B88" s="13"/>
      <c r="C88" s="13"/>
      <c r="D88" s="13"/>
      <c r="E88" s="13"/>
      <c r="F88" s="13"/>
      <c r="G88" s="13"/>
      <c r="H88" s="31"/>
      <c r="I88" s="13"/>
      <c r="J88" s="20"/>
      <c r="K88" s="2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ht="15.75">
      <c r="A89" s="13"/>
      <c r="B89" s="13"/>
      <c r="C89" s="13"/>
      <c r="D89" s="13"/>
      <c r="E89" s="13"/>
      <c r="F89" s="13"/>
      <c r="G89" s="13"/>
      <c r="H89" s="31"/>
      <c r="I89" s="13"/>
      <c r="J89" s="20"/>
      <c r="K89" s="2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15.75">
      <c r="A90" s="13"/>
      <c r="B90" s="13"/>
      <c r="C90" s="13"/>
      <c r="D90" s="13"/>
      <c r="E90" s="13"/>
      <c r="F90" s="13"/>
      <c r="G90" s="13"/>
      <c r="H90" s="31"/>
      <c r="I90" s="13"/>
      <c r="J90" s="20"/>
      <c r="K90" s="2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15.75">
      <c r="A91" s="13"/>
      <c r="B91" s="13"/>
      <c r="C91" s="13"/>
      <c r="D91" s="13"/>
      <c r="E91" s="13"/>
      <c r="F91" s="13"/>
      <c r="G91" s="13"/>
      <c r="H91" s="31"/>
      <c r="I91" s="13"/>
      <c r="J91" s="20"/>
      <c r="K91" s="2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15.75">
      <c r="A92" s="13"/>
      <c r="B92" s="13"/>
      <c r="C92" s="13"/>
      <c r="D92" s="13"/>
      <c r="E92" s="13"/>
      <c r="F92" s="13"/>
      <c r="G92" s="13"/>
      <c r="H92" s="31"/>
      <c r="I92" s="13"/>
      <c r="J92" s="20"/>
      <c r="K92" s="2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13.5">
      <c r="A93" s="1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3"/>
      <c r="T93" s="13"/>
      <c r="U93" s="13"/>
      <c r="V93" s="13"/>
    </row>
    <row r="94" spans="1:22" ht="13.5">
      <c r="A94" s="13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3"/>
      <c r="U94" s="13"/>
      <c r="V94" s="13"/>
    </row>
    <row r="95" spans="1:22" ht="18">
      <c r="A95" s="118" t="s">
        <v>101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3"/>
    </row>
    <row r="96" spans="1:22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</row>
    <row r="97" spans="1:22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</row>
    <row r="98" spans="1:22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</row>
    <row r="99" spans="1:22" ht="15.75">
      <c r="A99" s="12"/>
      <c r="B99" s="12"/>
      <c r="C99" s="12"/>
      <c r="D99" s="12"/>
      <c r="E99" s="12"/>
      <c r="F99" s="12"/>
      <c r="G99" s="12"/>
      <c r="H99" s="18"/>
      <c r="I99" s="31"/>
      <c r="J99" s="5"/>
      <c r="K99" s="45"/>
      <c r="L99" s="6"/>
      <c r="M99" s="7"/>
      <c r="N99" s="12"/>
      <c r="O99" s="12"/>
      <c r="P99" s="12"/>
      <c r="Q99" s="12"/>
      <c r="R99" s="12"/>
      <c r="S99" s="16"/>
      <c r="T99" s="12"/>
      <c r="U99" s="12"/>
      <c r="V99" s="13"/>
    </row>
    <row r="100" spans="1:22" ht="15.75">
      <c r="A100" s="17" t="s">
        <v>3</v>
      </c>
      <c r="B100" s="129">
        <f>Data!H50</f>
        <v>36859</v>
      </c>
      <c r="C100" s="129"/>
      <c r="D100" s="129"/>
      <c r="E100" s="123" t="s">
        <v>8</v>
      </c>
      <c r="F100" s="123"/>
      <c r="G100" s="12"/>
      <c r="H100" s="59" t="s">
        <v>54</v>
      </c>
      <c r="I100" s="4"/>
      <c r="J100" s="5">
        <f>Data!H55</f>
        <v>248</v>
      </c>
      <c r="K100" s="5" t="s">
        <v>35</v>
      </c>
      <c r="L100" s="6">
        <f>Data!I55</f>
        <v>40.6</v>
      </c>
      <c r="M100" s="7" t="s">
        <v>5</v>
      </c>
      <c r="N100" s="5" t="s">
        <v>7</v>
      </c>
      <c r="O100" s="19" t="s">
        <v>9</v>
      </c>
      <c r="P100" s="13"/>
      <c r="Q100" s="5">
        <f>Data!H60</f>
        <v>7</v>
      </c>
      <c r="R100" s="5" t="s">
        <v>35</v>
      </c>
      <c r="S100" s="6">
        <f>Data!I60</f>
        <v>24.4</v>
      </c>
      <c r="T100" s="7" t="s">
        <v>5</v>
      </c>
      <c r="U100" s="5" t="str">
        <f>Data!J60</f>
        <v>N</v>
      </c>
      <c r="V100" s="13"/>
    </row>
    <row r="101" spans="1:22" ht="15.75">
      <c r="A101" s="17" t="s">
        <v>0</v>
      </c>
      <c r="B101" s="130">
        <f>Data!H51</f>
        <v>0.5005555555555555</v>
      </c>
      <c r="C101" s="130"/>
      <c r="D101" s="130"/>
      <c r="E101" s="123" t="s">
        <v>8</v>
      </c>
      <c r="F101" s="123"/>
      <c r="G101" s="12"/>
      <c r="H101" s="67" t="s">
        <v>53</v>
      </c>
      <c r="I101" s="68"/>
      <c r="J101" s="69">
        <f>Data!H56</f>
        <v>0</v>
      </c>
      <c r="K101" s="69" t="s">
        <v>35</v>
      </c>
      <c r="L101" s="70">
        <f>Data!I56</f>
        <v>12</v>
      </c>
      <c r="M101" s="71" t="s">
        <v>5</v>
      </c>
      <c r="N101" s="69"/>
      <c r="O101" s="80"/>
      <c r="P101" s="81"/>
      <c r="Q101" s="54"/>
      <c r="R101" s="54"/>
      <c r="S101" s="54"/>
      <c r="T101" s="82"/>
      <c r="U101" s="54"/>
      <c r="V101" s="13"/>
    </row>
    <row r="102" spans="1:22" ht="15.75">
      <c r="A102" s="64" t="s">
        <v>1</v>
      </c>
      <c r="B102" s="72">
        <f>Data!B50</f>
        <v>26</v>
      </c>
      <c r="C102" s="5" t="s">
        <v>35</v>
      </c>
      <c r="D102" s="73">
        <f>Data!C50</f>
        <v>15.6</v>
      </c>
      <c r="E102" s="74" t="s">
        <v>5</v>
      </c>
      <c r="F102" s="5" t="str">
        <f>Data!D50</f>
        <v>N</v>
      </c>
      <c r="G102" s="12"/>
      <c r="H102" s="59" t="s">
        <v>61</v>
      </c>
      <c r="I102" s="4"/>
      <c r="J102" s="5">
        <f>IF(L100+L101&gt;60,IF(J100+J101&gt;=359,J100+J101-359,J100+J101+1),IF(J100+J101&gt;=360,J100+J101-360,J100+J101))</f>
        <v>248</v>
      </c>
      <c r="K102" s="5" t="s">
        <v>35</v>
      </c>
      <c r="L102" s="6">
        <f>IF(L100+L101&gt;=60,L100+L101-60,L100+L101)</f>
        <v>52.6</v>
      </c>
      <c r="M102" s="7" t="s">
        <v>5</v>
      </c>
      <c r="N102" s="5" t="s">
        <v>7</v>
      </c>
      <c r="O102" s="80"/>
      <c r="P102" s="81"/>
      <c r="Q102" s="54"/>
      <c r="R102" s="54"/>
      <c r="S102" s="83"/>
      <c r="T102" s="82"/>
      <c r="U102" s="54"/>
      <c r="V102" s="13"/>
    </row>
    <row r="103" spans="1:22" ht="15.75">
      <c r="A103" s="64" t="s">
        <v>2</v>
      </c>
      <c r="B103" s="72">
        <f>Data!B51</f>
        <v>91</v>
      </c>
      <c r="C103" s="5" t="s">
        <v>35</v>
      </c>
      <c r="D103" s="73">
        <f>Data!C51</f>
        <v>29.2</v>
      </c>
      <c r="E103" s="75" t="s">
        <v>5</v>
      </c>
      <c r="F103" s="5" t="str">
        <f>Data!D51</f>
        <v>W</v>
      </c>
      <c r="G103" s="12"/>
      <c r="H103" s="60" t="s">
        <v>2</v>
      </c>
      <c r="I103" s="8"/>
      <c r="J103" s="5">
        <f>B103</f>
        <v>91</v>
      </c>
      <c r="K103" s="5" t="s">
        <v>35</v>
      </c>
      <c r="L103" s="6">
        <f>D103</f>
        <v>29.2</v>
      </c>
      <c r="M103" s="7" t="s">
        <v>5</v>
      </c>
      <c r="N103" s="5" t="str">
        <f>F103</f>
        <v>W</v>
      </c>
      <c r="O103" s="12"/>
      <c r="P103" s="12"/>
      <c r="Q103" s="12"/>
      <c r="R103" s="12"/>
      <c r="S103" s="12"/>
      <c r="T103" s="12"/>
      <c r="U103" s="12"/>
      <c r="V103" s="13"/>
    </row>
    <row r="104" spans="1:22" ht="15.75">
      <c r="A104" s="57" t="s">
        <v>4</v>
      </c>
      <c r="B104" s="72">
        <f>Data!B53</f>
        <v>22</v>
      </c>
      <c r="C104" s="5" t="s">
        <v>35</v>
      </c>
      <c r="D104" s="73">
        <f>Data!C53</f>
        <v>33.8</v>
      </c>
      <c r="E104" s="7" t="s">
        <v>5</v>
      </c>
      <c r="F104" s="5"/>
      <c r="G104" s="12"/>
      <c r="H104" s="61" t="s">
        <v>62</v>
      </c>
      <c r="I104" s="9"/>
      <c r="J104" s="1">
        <f>IF(N103="E",IF(L102+L103&gt;60,IF(J102+J103&gt;=359,J102+J103-359,J102+J103+1),IF(J102+J103&gt;=360,J102+J103-360,J102+J103)),IF(L102-L103&lt;0,IF(J103&gt;=J102,J102-J103+359,J102-J103-1),IF(J103&gt;=J102,J102-J103+360,J102-J103)))</f>
        <v>157</v>
      </c>
      <c r="K104" s="1" t="s">
        <v>35</v>
      </c>
      <c r="L104" s="2">
        <f>IF(N103="E",IF(L102+L103&lt;60,L102+L103,L102+L103-60),IF(L102-L103&lt;0,L102-L103+60,L102-L103))</f>
        <v>23.400000000000002</v>
      </c>
      <c r="M104" s="3" t="s">
        <v>5</v>
      </c>
      <c r="N104" s="1" t="s">
        <v>7</v>
      </c>
      <c r="O104" s="12"/>
      <c r="P104" s="12"/>
      <c r="Q104" s="12"/>
      <c r="R104" s="12"/>
      <c r="S104" s="12"/>
      <c r="T104" s="12"/>
      <c r="U104" s="12"/>
      <c r="V104" s="13"/>
    </row>
    <row r="105" spans="1:22" ht="15.75">
      <c r="A105" s="17" t="s">
        <v>11</v>
      </c>
      <c r="B105" s="5"/>
      <c r="C105" s="5"/>
      <c r="D105" s="6">
        <f>Data!C55</f>
        <v>3</v>
      </c>
      <c r="E105" s="7" t="s">
        <v>5</v>
      </c>
      <c r="F105" s="5"/>
      <c r="G105" s="12"/>
      <c r="H105" s="79" t="s">
        <v>28</v>
      </c>
      <c r="I105" s="90"/>
      <c r="J105" s="92">
        <f>Data!H62</f>
        <v>271</v>
      </c>
      <c r="K105" s="54" t="s">
        <v>35</v>
      </c>
      <c r="L105" s="112">
        <f>Data!I62</f>
        <v>11.6</v>
      </c>
      <c r="M105" s="7" t="s">
        <v>5</v>
      </c>
      <c r="N105" s="92"/>
      <c r="O105" s="12"/>
      <c r="P105" s="12"/>
      <c r="Q105" s="12"/>
      <c r="R105" s="12"/>
      <c r="S105" s="12"/>
      <c r="T105" s="12"/>
      <c r="U105" s="12"/>
      <c r="V105" s="13"/>
    </row>
    <row r="106" spans="1:22" ht="15.75">
      <c r="A106" s="17" t="s">
        <v>15</v>
      </c>
      <c r="B106" s="5"/>
      <c r="C106" s="5"/>
      <c r="D106" s="6">
        <f>Data!C54</f>
        <v>0</v>
      </c>
      <c r="E106" s="7" t="s">
        <v>5</v>
      </c>
      <c r="F106" s="5"/>
      <c r="G106" s="12"/>
      <c r="H106" s="77" t="s">
        <v>63</v>
      </c>
      <c r="I106" s="91"/>
      <c r="J106" s="22">
        <f>IF(L104+L105&gt;=60,IF(J104+J105&gt;=359,J104+J105-359,J104+J105+1),IF(J104+J105&gt;=360,J104+J105-360,J104+J105))</f>
        <v>68</v>
      </c>
      <c r="K106" s="1" t="s">
        <v>35</v>
      </c>
      <c r="L106" s="6">
        <f>IF(L104+L105&gt;=60,L104+L105-60,L104+L105)</f>
        <v>35</v>
      </c>
      <c r="M106" s="3" t="s">
        <v>5</v>
      </c>
      <c r="N106" s="5" t="s">
        <v>7</v>
      </c>
      <c r="O106" s="12"/>
      <c r="P106" s="12"/>
      <c r="Q106" s="12"/>
      <c r="R106" s="12"/>
      <c r="S106" s="12"/>
      <c r="T106" s="12"/>
      <c r="U106" s="12"/>
      <c r="V106" s="12"/>
    </row>
    <row r="107" spans="1:22" ht="15.75">
      <c r="A107" s="17" t="s">
        <v>13</v>
      </c>
      <c r="B107" s="5"/>
      <c r="C107" s="5"/>
      <c r="D107" s="6">
        <f>Data!C56</f>
        <v>25</v>
      </c>
      <c r="E107" s="123" t="s">
        <v>14</v>
      </c>
      <c r="F107" s="123"/>
      <c r="G107" s="23"/>
      <c r="H107" s="78"/>
      <c r="I107" s="12"/>
      <c r="J107" s="22" t="str">
        <f>IF(J106&gt;=180,359-J106," ")</f>
        <v> </v>
      </c>
      <c r="K107" s="5" t="str">
        <f>IF(J107=" "," ","º")</f>
        <v> </v>
      </c>
      <c r="L107" s="6" t="str">
        <f>IF(J106&gt;=180,60-L106," ")</f>
        <v> </v>
      </c>
      <c r="M107" s="5" t="str">
        <f>IF(J107=" "," ","'")</f>
        <v> </v>
      </c>
      <c r="N107" s="5" t="str">
        <f>IF(J107=" "," ","E")</f>
        <v> </v>
      </c>
      <c r="O107" s="12"/>
      <c r="P107" s="12"/>
      <c r="Q107" s="12"/>
      <c r="R107" s="12"/>
      <c r="S107" s="12"/>
      <c r="T107" s="12"/>
      <c r="U107" s="12"/>
      <c r="V107" s="12"/>
    </row>
    <row r="108" spans="1:22" ht="13.5">
      <c r="A108" s="58" t="s">
        <v>28</v>
      </c>
      <c r="B108" s="5"/>
      <c r="C108" s="5"/>
      <c r="D108" s="6">
        <f>Data!C57</f>
        <v>18</v>
      </c>
      <c r="E108" s="5" t="s">
        <v>35</v>
      </c>
      <c r="F108" s="5" t="s">
        <v>42</v>
      </c>
      <c r="G108" s="13"/>
      <c r="H108" s="12"/>
      <c r="I108" s="12"/>
      <c r="J108" s="12"/>
      <c r="K108" s="12"/>
      <c r="L108" s="12"/>
      <c r="M108" s="12"/>
      <c r="N108" s="12"/>
      <c r="O108" s="13"/>
      <c r="P108" s="13"/>
      <c r="Q108" s="13"/>
      <c r="R108" s="13"/>
      <c r="S108" s="13"/>
      <c r="T108" s="13"/>
      <c r="U108" s="13"/>
      <c r="V108" s="12"/>
    </row>
    <row r="109" spans="1:22" ht="15.75">
      <c r="A109" s="57" t="s">
        <v>29</v>
      </c>
      <c r="B109" s="5"/>
      <c r="C109" s="5"/>
      <c r="D109" s="5">
        <f>Data!C58</f>
        <v>769</v>
      </c>
      <c r="E109" s="123" t="s">
        <v>60</v>
      </c>
      <c r="F109" s="123"/>
      <c r="G109" s="13"/>
      <c r="H109" s="62" t="str">
        <f>A104</f>
        <v>ОС</v>
      </c>
      <c r="I109" s="13"/>
      <c r="J109" s="5">
        <f>B104</f>
        <v>22</v>
      </c>
      <c r="K109" s="45" t="s">
        <v>35</v>
      </c>
      <c r="L109" s="6">
        <f>D104</f>
        <v>33.8</v>
      </c>
      <c r="M109" s="7" t="s">
        <v>5</v>
      </c>
      <c r="N109" s="10"/>
      <c r="O109" s="13"/>
      <c r="P109" s="13"/>
      <c r="Q109" s="13"/>
      <c r="R109" s="13"/>
      <c r="S109" s="13"/>
      <c r="T109" s="13"/>
      <c r="U109" s="13"/>
      <c r="V109" s="12"/>
    </row>
    <row r="110" spans="1:22" ht="15.75">
      <c r="A110" s="17" t="s">
        <v>50</v>
      </c>
      <c r="B110" s="5"/>
      <c r="C110" s="5"/>
      <c r="D110" s="76">
        <f>Data!C59</f>
        <v>284</v>
      </c>
      <c r="E110" s="5" t="s">
        <v>35</v>
      </c>
      <c r="F110" s="5"/>
      <c r="G110" s="13"/>
      <c r="H110" s="62" t="str">
        <f>A105</f>
        <v>i</v>
      </c>
      <c r="I110" s="13"/>
      <c r="J110" s="5"/>
      <c r="K110" s="5"/>
      <c r="L110" s="6">
        <f>D105</f>
        <v>3</v>
      </c>
      <c r="M110" s="7" t="s">
        <v>5</v>
      </c>
      <c r="N110" s="10"/>
      <c r="O110" s="13"/>
      <c r="P110" s="13"/>
      <c r="Q110" s="13"/>
      <c r="R110" s="13"/>
      <c r="S110" s="13"/>
      <c r="T110" s="13"/>
      <c r="U110" s="13"/>
      <c r="V110" s="12"/>
    </row>
    <row r="111" spans="1:22" ht="15.75">
      <c r="A111" s="17" t="s">
        <v>51</v>
      </c>
      <c r="B111" s="5"/>
      <c r="C111" s="5"/>
      <c r="D111" s="76">
        <f>Data!C60</f>
        <v>13.2</v>
      </c>
      <c r="E111" s="127" t="s">
        <v>52</v>
      </c>
      <c r="F111" s="127"/>
      <c r="G111" s="13"/>
      <c r="H111" s="62" t="str">
        <f>A106</f>
        <v>s</v>
      </c>
      <c r="I111" s="13"/>
      <c r="J111" s="5"/>
      <c r="K111" s="5"/>
      <c r="L111" s="6">
        <f>D106</f>
        <v>0</v>
      </c>
      <c r="M111" s="7" t="s">
        <v>5</v>
      </c>
      <c r="N111" s="10"/>
      <c r="O111" s="13"/>
      <c r="P111" s="13"/>
      <c r="Q111" s="13"/>
      <c r="R111" s="13"/>
      <c r="S111" s="13"/>
      <c r="T111" s="13"/>
      <c r="U111" s="13"/>
      <c r="V111" s="12"/>
    </row>
    <row r="112" spans="1:22" ht="15.75">
      <c r="A112" s="114" t="str">
        <f>Data!A61</f>
        <v>Star sighted</v>
      </c>
      <c r="B112" s="114"/>
      <c r="C112" s="114"/>
      <c r="D112" s="114"/>
      <c r="E112" s="114"/>
      <c r="F112" s="114"/>
      <c r="G112" s="13"/>
      <c r="H112" s="62" t="s">
        <v>12</v>
      </c>
      <c r="I112" s="13"/>
      <c r="J112" s="5"/>
      <c r="K112" s="5"/>
      <c r="L112" s="6">
        <f>-ROUND(1.7603*SQRT(D107),1)</f>
        <v>-8.8</v>
      </c>
      <c r="M112" s="7" t="s">
        <v>5</v>
      </c>
      <c r="N112" s="10"/>
      <c r="O112" s="24"/>
      <c r="P112" s="13"/>
      <c r="Q112" s="13"/>
      <c r="R112" s="13"/>
      <c r="S112" s="13"/>
      <c r="T112" s="13"/>
      <c r="U112" s="13"/>
      <c r="V112" s="12"/>
    </row>
    <row r="113" spans="1:22" ht="15.75">
      <c r="A113" s="108" t="str">
        <f>Data!A62</f>
        <v>a</v>
      </c>
      <c r="B113" s="128" t="str">
        <f>Data!B62</f>
        <v>Orionis</v>
      </c>
      <c r="C113" s="128"/>
      <c r="D113" s="128"/>
      <c r="E113" s="128"/>
      <c r="F113" s="128"/>
      <c r="G113" s="13"/>
      <c r="H113" s="62" t="s">
        <v>64</v>
      </c>
      <c r="I113" s="13"/>
      <c r="J113" s="5"/>
      <c r="K113" s="5"/>
      <c r="L113" s="6">
        <f>Tables!G23</f>
        <v>-2.29999999999997</v>
      </c>
      <c r="M113" s="7" t="s">
        <v>5</v>
      </c>
      <c r="N113" s="10"/>
      <c r="O113" s="13"/>
      <c r="P113" s="13"/>
      <c r="Q113" s="13"/>
      <c r="R113" s="13"/>
      <c r="S113" s="13"/>
      <c r="T113" s="13"/>
      <c r="U113" s="13"/>
      <c r="V113" s="12"/>
    </row>
    <row r="114" spans="1:22" ht="15.75">
      <c r="A114" s="13"/>
      <c r="B114" s="128" t="str">
        <f>Data!B63</f>
        <v>Betelgeuse</v>
      </c>
      <c r="C114" s="128"/>
      <c r="D114" s="128"/>
      <c r="E114" s="128"/>
      <c r="F114" s="128"/>
      <c r="G114" s="13"/>
      <c r="H114" s="62" t="s">
        <v>43</v>
      </c>
      <c r="I114" s="13"/>
      <c r="J114" s="5"/>
      <c r="K114" s="5"/>
      <c r="L114" s="6">
        <f>Data!H66</f>
        <v>0.1</v>
      </c>
      <c r="M114" s="7" t="s">
        <v>5</v>
      </c>
      <c r="N114" s="10"/>
      <c r="O114" s="13"/>
      <c r="P114" s="13"/>
      <c r="Q114" s="13"/>
      <c r="R114" s="13"/>
      <c r="S114" s="13"/>
      <c r="T114" s="13"/>
      <c r="U114" s="13"/>
      <c r="V114" s="12"/>
    </row>
    <row r="115" spans="1:22" ht="15.75">
      <c r="A115" s="13"/>
      <c r="B115" s="13"/>
      <c r="C115" s="13"/>
      <c r="D115" s="13"/>
      <c r="E115" s="13"/>
      <c r="F115" s="13"/>
      <c r="G115" s="13"/>
      <c r="H115" s="63" t="s">
        <v>16</v>
      </c>
      <c r="I115" s="25"/>
      <c r="J115" s="98">
        <f>IF(SUM(L109:L114)&gt;=60,J109+1,IF(SUM(L109:L114)&lt;0,J109-1,J109))</f>
        <v>22</v>
      </c>
      <c r="K115" s="99" t="s">
        <v>35</v>
      </c>
      <c r="L115" s="2">
        <f>IF(SUM(L109:L114)&gt;=60,SUM(L109:L114)-60,IF(SUM(L109:L114)&lt;0,SUM(L109:L114)+60,SUM(L109:L114)))</f>
        <v>25.80000000000003</v>
      </c>
      <c r="M115" s="3" t="s">
        <v>5</v>
      </c>
      <c r="N115" s="26"/>
      <c r="O115" s="13"/>
      <c r="P115" s="13"/>
      <c r="Q115" s="13"/>
      <c r="R115" s="13"/>
      <c r="S115" s="13"/>
      <c r="T115" s="13"/>
      <c r="U115" s="13"/>
      <c r="V115" s="12"/>
    </row>
    <row r="116" spans="1:22" ht="15.75">
      <c r="A116" s="13"/>
      <c r="B116" s="13"/>
      <c r="C116" s="13"/>
      <c r="D116" s="13"/>
      <c r="E116" s="13"/>
      <c r="F116" s="13"/>
      <c r="G116" s="13"/>
      <c r="H116" s="65" t="s">
        <v>20</v>
      </c>
      <c r="I116" s="28"/>
      <c r="J116" s="100">
        <f>J125</f>
        <v>22</v>
      </c>
      <c r="K116" s="92" t="s">
        <v>35</v>
      </c>
      <c r="L116" s="70">
        <f>L125</f>
        <v>26.5</v>
      </c>
      <c r="M116" s="71" t="s">
        <v>5</v>
      </c>
      <c r="N116" s="29"/>
      <c r="O116" s="13"/>
      <c r="P116" s="13"/>
      <c r="Q116" s="13"/>
      <c r="R116" s="13"/>
      <c r="S116" s="13"/>
      <c r="T116" s="13"/>
      <c r="U116" s="13"/>
      <c r="V116" s="12"/>
    </row>
    <row r="117" spans="1:22" ht="15.75">
      <c r="A117" s="13"/>
      <c r="B117" s="13"/>
      <c r="C117" s="13"/>
      <c r="D117" s="13"/>
      <c r="E117" s="13"/>
      <c r="F117" s="13"/>
      <c r="G117" s="13"/>
      <c r="H117" s="21" t="s">
        <v>24</v>
      </c>
      <c r="I117" s="107" t="str">
        <f>IF(J115+L115/60-J116-L116/60&lt;0,"-"," ")</f>
        <v>-</v>
      </c>
      <c r="J117" s="45">
        <f>TRUNC(J115+L115/60-J116-L116/60,0)</f>
        <v>0</v>
      </c>
      <c r="K117" s="45" t="s">
        <v>35</v>
      </c>
      <c r="L117" s="104">
        <f>ABS(((J115+L115/60-J116-L116/60)-J117)*60)</f>
        <v>0.7000000000000162</v>
      </c>
      <c r="M117" s="7" t="s">
        <v>5</v>
      </c>
      <c r="N117" s="13"/>
      <c r="O117" s="13"/>
      <c r="P117" s="13"/>
      <c r="Q117" s="13"/>
      <c r="R117" s="13"/>
      <c r="S117" s="13"/>
      <c r="T117" s="13"/>
      <c r="U117" s="13"/>
      <c r="V117" s="12"/>
    </row>
    <row r="118" spans="1:22" ht="15.75">
      <c r="A118" s="13"/>
      <c r="B118" s="13"/>
      <c r="C118" s="13"/>
      <c r="D118" s="13"/>
      <c r="E118" s="13"/>
      <c r="F118" s="13"/>
      <c r="G118" s="13"/>
      <c r="H118" s="31"/>
      <c r="I118" s="13"/>
      <c r="J118" s="13"/>
      <c r="K118" s="13"/>
      <c r="L118" s="13"/>
      <c r="M118" s="11"/>
      <c r="N118" s="13"/>
      <c r="O118" s="13"/>
      <c r="P118" s="13"/>
      <c r="Q118" s="13"/>
      <c r="R118" s="13"/>
      <c r="S118" s="13"/>
      <c r="T118" s="13"/>
      <c r="U118" s="13"/>
      <c r="V118" s="12"/>
    </row>
    <row r="119" spans="1:22" ht="15.75">
      <c r="A119" s="13"/>
      <c r="B119" s="13"/>
      <c r="C119" s="13"/>
      <c r="D119" s="13"/>
      <c r="E119" s="13"/>
      <c r="F119" s="13"/>
      <c r="G119" s="13"/>
      <c r="H119" s="31"/>
      <c r="I119" s="13"/>
      <c r="J119" s="13"/>
      <c r="K119" s="13"/>
      <c r="L119" s="13"/>
      <c r="M119" s="11"/>
      <c r="N119" s="13"/>
      <c r="O119" s="13"/>
      <c r="P119" s="13"/>
      <c r="Q119" s="13"/>
      <c r="R119" s="13"/>
      <c r="S119" s="13"/>
      <c r="T119" s="13"/>
      <c r="U119" s="13"/>
      <c r="V119" s="12"/>
    </row>
    <row r="120" spans="1:22" ht="13.5">
      <c r="A120" s="13"/>
      <c r="B120" s="13"/>
      <c r="C120" s="13"/>
      <c r="D120" s="13"/>
      <c r="E120" s="13"/>
      <c r="F120" s="13"/>
      <c r="G120" s="13"/>
      <c r="H120" s="13"/>
      <c r="I120" s="13"/>
      <c r="J120" s="12"/>
      <c r="K120" s="13"/>
      <c r="L120" s="12"/>
      <c r="M120" s="13"/>
      <c r="N120" s="13"/>
      <c r="O120" s="13"/>
      <c r="P120" s="13"/>
      <c r="Q120" s="13"/>
      <c r="R120" s="13"/>
      <c r="S120" s="13"/>
      <c r="T120" s="13"/>
      <c r="U120" s="13"/>
      <c r="V120" s="12"/>
    </row>
    <row r="121" spans="1:22" ht="15.75">
      <c r="A121" s="27" t="str">
        <f>A102</f>
        <v>j</v>
      </c>
      <c r="B121" s="5">
        <f>IF(D102&lt;=30,B102,B102+1)</f>
        <v>26</v>
      </c>
      <c r="C121" s="45" t="s">
        <v>35</v>
      </c>
      <c r="D121" s="6">
        <f>IF(D102&lt;=30,D102,D102-60)</f>
        <v>15.6</v>
      </c>
      <c r="E121" s="7" t="s">
        <v>5</v>
      </c>
      <c r="F121" s="5" t="str">
        <f>F102</f>
        <v>N</v>
      </c>
      <c r="G121" s="13"/>
      <c r="H121" s="65" t="s">
        <v>17</v>
      </c>
      <c r="I121" s="28"/>
      <c r="J121" s="69">
        <f>ROUND(TRUNC(ABS(90-Tables!$I$8),0),0)</f>
        <v>21</v>
      </c>
      <c r="K121" s="92" t="s">
        <v>35</v>
      </c>
      <c r="L121" s="70">
        <f>ROUND((ABS(90-Tables!$I$8)-$J$121)*60,1)</f>
        <v>54.5</v>
      </c>
      <c r="M121" s="71" t="s">
        <v>5</v>
      </c>
      <c r="N121" s="13"/>
      <c r="O121" s="65" t="s">
        <v>21</v>
      </c>
      <c r="P121" s="28"/>
      <c r="Q121" s="126">
        <f>IF(Tables!$J$8&lt;0,180+Tables!$J$8,Tables!$J$8)</f>
        <v>92.9</v>
      </c>
      <c r="R121" s="126"/>
      <c r="S121" s="92" t="s">
        <v>35</v>
      </c>
      <c r="T121" s="13"/>
      <c r="U121" s="13"/>
      <c r="V121" s="12"/>
    </row>
    <row r="122" spans="1:22" ht="15.75">
      <c r="A122" s="27" t="str">
        <f>O100</f>
        <v>d</v>
      </c>
      <c r="B122" s="5">
        <f>IF(S100&lt;=30,Q100,Q100+1)</f>
        <v>7</v>
      </c>
      <c r="C122" s="45" t="s">
        <v>35</v>
      </c>
      <c r="D122" s="6">
        <f>IF(S100&lt;=30,S100,S100-60)</f>
        <v>24.4</v>
      </c>
      <c r="E122" s="7" t="s">
        <v>5</v>
      </c>
      <c r="F122" s="5" t="str">
        <f>U100</f>
        <v>N</v>
      </c>
      <c r="G122" s="13"/>
      <c r="H122" s="27" t="s">
        <v>18</v>
      </c>
      <c r="I122" s="13"/>
      <c r="J122" s="5"/>
      <c r="K122" s="5"/>
      <c r="L122" s="6">
        <f>COS(RADIANS(Q121))*D121</f>
        <v>-0.7892498651967296</v>
      </c>
      <c r="M122" s="7" t="s">
        <v>5</v>
      </c>
      <c r="N122" s="13"/>
      <c r="O122" s="27" t="s">
        <v>18</v>
      </c>
      <c r="P122" s="13"/>
      <c r="Q122" s="122">
        <f>(TAN(RADIANS(J121))*SIN(RADIANS(Q121))*D121)/60</f>
        <v>0.09967683500234158</v>
      </c>
      <c r="R122" s="122"/>
      <c r="S122" s="45" t="s">
        <v>35</v>
      </c>
      <c r="T122" s="13"/>
      <c r="U122" s="13"/>
      <c r="V122" s="12"/>
    </row>
    <row r="123" spans="1:22" ht="15.75">
      <c r="A123" s="62" t="str">
        <f>H106</f>
        <v>tm</v>
      </c>
      <c r="B123" s="5">
        <f>IF(IF(L107=" ",L106,L107)&lt;30,IF(J107=" ",J106,J107),IF(J107=" ",J106,J107)+1)</f>
        <v>69</v>
      </c>
      <c r="C123" s="45" t="s">
        <v>35</v>
      </c>
      <c r="D123" s="6">
        <f>IF(IF(L107=" ",L106,L107)&lt;30,IF(L107=" ",L106,L107),IF(L107=" ",L106,L107)-60)</f>
        <v>-25</v>
      </c>
      <c r="E123" s="7" t="s">
        <v>5</v>
      </c>
      <c r="F123" s="5" t="str">
        <f>IF(N107=" ",N106,N107)</f>
        <v>W</v>
      </c>
      <c r="G123" s="13"/>
      <c r="H123" s="27" t="s">
        <v>10</v>
      </c>
      <c r="I123" s="13"/>
      <c r="J123" s="5"/>
      <c r="K123" s="5"/>
      <c r="L123" s="6">
        <f>COS(RADIANS(B124))*D122</f>
        <v>10.311885586473066</v>
      </c>
      <c r="M123" s="7" t="s">
        <v>5</v>
      </c>
      <c r="N123" s="13"/>
      <c r="O123" s="27" t="s">
        <v>10</v>
      </c>
      <c r="P123" s="13"/>
      <c r="Q123" s="122">
        <f>-(COS(RADIANS(B121))*D122*POWER(SIN(RADIANS(Q121)),2)/(SIN(RADIANS(B123))*POWER(COS(RADIANS(B122)),2)))/60</f>
        <v>-0.396398991100182</v>
      </c>
      <c r="R123" s="122"/>
      <c r="S123" s="45" t="s">
        <v>35</v>
      </c>
      <c r="T123" s="13"/>
      <c r="U123" s="13"/>
      <c r="V123" s="12"/>
    </row>
    <row r="124" spans="1:22" ht="15.75">
      <c r="A124" s="62" t="s">
        <v>23</v>
      </c>
      <c r="B124" s="5">
        <f>IF(F121=F122,IF(Tables!K8&lt;0,180+Tables!K8,Tables!K8),180-IF(Tables!K8&lt;0,180+Tables!K8,Tables!K8))</f>
        <v>65</v>
      </c>
      <c r="C124" s="45" t="s">
        <v>35</v>
      </c>
      <c r="D124" s="5"/>
      <c r="E124" s="5"/>
      <c r="F124" s="5"/>
      <c r="G124" s="13"/>
      <c r="H124" s="27" t="s">
        <v>19</v>
      </c>
      <c r="I124" s="13"/>
      <c r="J124" s="5"/>
      <c r="K124" s="5"/>
      <c r="L124" s="6">
        <f>-SIN(RADIANS(Q121))*COS(RADIANS(B121))*D123</f>
        <v>22.441075304021943</v>
      </c>
      <c r="M124" s="7" t="s">
        <v>5</v>
      </c>
      <c r="N124" s="13"/>
      <c r="O124" s="27" t="s">
        <v>19</v>
      </c>
      <c r="P124" s="13"/>
      <c r="Q124" s="122">
        <f>((COS(RADIANS(B121))*TAN(RADIANS(J121))*COS(RADIANS(Q121))-SIN(RADIANS(B121)))*D123)/60</f>
        <v>0.1899276897088227</v>
      </c>
      <c r="R124" s="122"/>
      <c r="S124" s="45" t="s">
        <v>35</v>
      </c>
      <c r="T124" s="13"/>
      <c r="U124" s="13"/>
      <c r="V124" s="12"/>
    </row>
    <row r="125" spans="1:22" ht="15.75">
      <c r="A125" s="13"/>
      <c r="B125" s="13"/>
      <c r="C125" s="13"/>
      <c r="D125" s="13"/>
      <c r="E125" s="13"/>
      <c r="F125" s="13"/>
      <c r="G125" s="13"/>
      <c r="H125" s="63" t="s">
        <v>20</v>
      </c>
      <c r="I125" s="25"/>
      <c r="J125" s="98">
        <f>IF(SUM(L121:L124)&gt;=60,J121+1,IF(SUM(L121:L124)&lt;0,J121-1,J121))</f>
        <v>22</v>
      </c>
      <c r="K125" s="99" t="s">
        <v>35</v>
      </c>
      <c r="L125" s="2">
        <f>ROUND(IF(SUM(L121:L124)&gt;=60,SUM(L121:L124)-60,IF(SUM(L121:L124)&lt;0,SUM(L121:L124)+60,SUM(L121:L124))),1)</f>
        <v>26.5</v>
      </c>
      <c r="M125" s="3" t="s">
        <v>5</v>
      </c>
      <c r="N125" s="13"/>
      <c r="O125" s="63" t="s">
        <v>22</v>
      </c>
      <c r="P125" s="25"/>
      <c r="Q125" s="124">
        <f>ROUND(SUM(Q121:R124),1)</f>
        <v>92.8</v>
      </c>
      <c r="R125" s="124"/>
      <c r="S125" s="1" t="str">
        <f>CONCATENATE(F121,F123)</f>
        <v>NW</v>
      </c>
      <c r="T125" s="13"/>
      <c r="U125" s="13"/>
      <c r="V125" s="12"/>
    </row>
    <row r="126" spans="1:22" ht="13.5">
      <c r="A126" s="13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2"/>
      <c r="P126" s="13"/>
      <c r="Q126" s="12"/>
      <c r="R126" s="12"/>
      <c r="S126" s="13"/>
      <c r="T126" s="13"/>
      <c r="U126" s="13"/>
      <c r="V126" s="12"/>
    </row>
    <row r="127" spans="1:22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2"/>
    </row>
    <row r="128" spans="1:22" ht="15.75">
      <c r="A128" s="13"/>
      <c r="B128" s="13"/>
      <c r="C128" s="13"/>
      <c r="D128" s="13"/>
      <c r="E128" s="13"/>
      <c r="F128" s="13"/>
      <c r="G128" s="13"/>
      <c r="H128" s="21" t="s">
        <v>22</v>
      </c>
      <c r="I128" s="13"/>
      <c r="J128" s="122">
        <f>IF(S125="ne",Q125,IF(S125="sw",180+Q125,IF(S125="SE",180-Q125,360-Q125)))</f>
        <v>267.2</v>
      </c>
      <c r="K128" s="122"/>
      <c r="L128" s="45" t="s">
        <v>35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2"/>
    </row>
    <row r="129" spans="1:22" ht="15.75">
      <c r="A129" s="13"/>
      <c r="B129" s="13"/>
      <c r="C129" s="13"/>
      <c r="D129" s="13"/>
      <c r="E129" s="13"/>
      <c r="F129" s="13"/>
      <c r="G129" s="13"/>
      <c r="H129" s="21" t="s">
        <v>24</v>
      </c>
      <c r="I129" s="13"/>
      <c r="J129" s="122">
        <f>ROUND((J115+L115/60-J116-L116/60)*60,1)</f>
        <v>-0.7</v>
      </c>
      <c r="K129" s="122"/>
      <c r="L129" s="95" t="s">
        <v>69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2"/>
    </row>
    <row r="130" spans="1:22" ht="18">
      <c r="A130" s="13"/>
      <c r="B130" s="13"/>
      <c r="C130" s="13"/>
      <c r="D130" s="13"/>
      <c r="E130" s="13"/>
      <c r="F130" s="13"/>
      <c r="G130" s="12"/>
      <c r="H130" s="12"/>
      <c r="I130" s="12"/>
      <c r="J130" s="12"/>
      <c r="K130" s="12"/>
      <c r="L130" s="12"/>
      <c r="M130" s="12"/>
      <c r="N130" s="12"/>
      <c r="O130" s="66"/>
      <c r="P130" s="13"/>
      <c r="Q130" s="13"/>
      <c r="R130" s="13"/>
      <c r="S130" s="13"/>
      <c r="T130" s="13"/>
      <c r="U130" s="13"/>
      <c r="V130" s="12"/>
    </row>
    <row r="131" spans="1:22" ht="18">
      <c r="A131" s="120" t="s">
        <v>102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"/>
    </row>
    <row r="132" spans="1:22" ht="13.5">
      <c r="A132" s="13"/>
      <c r="B132" s="13"/>
      <c r="C132" s="13"/>
      <c r="D132" s="13"/>
      <c r="E132" s="13"/>
      <c r="F132" s="13"/>
      <c r="G132" s="47"/>
      <c r="H132" s="12"/>
      <c r="I132" s="12"/>
      <c r="J132" s="12"/>
      <c r="K132" s="12"/>
      <c r="L132" s="12"/>
      <c r="M132" s="12"/>
      <c r="N132" s="12"/>
      <c r="O132" s="47"/>
      <c r="P132" s="13"/>
      <c r="Q132" s="13"/>
      <c r="R132" s="13"/>
      <c r="S132" s="13"/>
      <c r="T132" s="13"/>
      <c r="U132" s="13"/>
      <c r="V132" s="12"/>
    </row>
    <row r="133" spans="1:22" ht="15.75">
      <c r="A133" s="12"/>
      <c r="B133" s="12"/>
      <c r="C133" s="12"/>
      <c r="D133" s="12"/>
      <c r="E133" s="12"/>
      <c r="F133" s="12"/>
      <c r="G133" s="12"/>
      <c r="H133" s="102" t="s">
        <v>1</v>
      </c>
      <c r="I133" s="103"/>
      <c r="J133" s="48">
        <f>Tables!I27</f>
        <v>26</v>
      </c>
      <c r="K133" s="49" t="s">
        <v>35</v>
      </c>
      <c r="L133" s="113">
        <f>Tables!J27</f>
        <v>14.7</v>
      </c>
      <c r="M133" s="50" t="s">
        <v>5</v>
      </c>
      <c r="N133" s="48" t="str">
        <f>Data!D50</f>
        <v>N</v>
      </c>
      <c r="O133" s="12"/>
      <c r="P133" s="12"/>
      <c r="Q133" s="12"/>
      <c r="R133" s="12"/>
      <c r="S133" s="12"/>
      <c r="T133" s="12"/>
      <c r="U133" s="12"/>
      <c r="V133" s="12"/>
    </row>
    <row r="134" spans="1:22" ht="15.75">
      <c r="A134" s="12"/>
      <c r="B134" s="12"/>
      <c r="C134" s="12"/>
      <c r="D134" s="12"/>
      <c r="E134" s="12"/>
      <c r="F134" s="12"/>
      <c r="G134" s="12"/>
      <c r="H134" s="102" t="s">
        <v>2</v>
      </c>
      <c r="I134" s="103"/>
      <c r="J134" s="48">
        <f>Tables!I28</f>
        <v>91</v>
      </c>
      <c r="K134" s="48" t="s">
        <v>35</v>
      </c>
      <c r="L134" s="113">
        <f>Tables!J28</f>
        <v>28.1</v>
      </c>
      <c r="M134" s="50" t="s">
        <v>5</v>
      </c>
      <c r="N134" s="48" t="str">
        <f>Data!D51</f>
        <v>W</v>
      </c>
      <c r="O134" s="12"/>
      <c r="P134" s="12"/>
      <c r="Q134" s="12"/>
      <c r="R134" s="12"/>
      <c r="S134" s="12"/>
      <c r="T134" s="12"/>
      <c r="U134" s="12"/>
      <c r="V134" s="12"/>
    </row>
    <row r="135" spans="1:22" ht="18">
      <c r="A135" s="120" t="s">
        <v>40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"/>
    </row>
    <row r="136" spans="1:22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5.75">
      <c r="A137" s="12"/>
      <c r="B137" s="12"/>
      <c r="C137" s="12"/>
      <c r="D137" s="12"/>
      <c r="E137" s="12"/>
      <c r="F137" s="12"/>
      <c r="G137" s="12"/>
      <c r="H137" s="48" t="s">
        <v>39</v>
      </c>
      <c r="I137" s="121">
        <f>Tables!I31</f>
        <v>133.3</v>
      </c>
      <c r="J137" s="121"/>
      <c r="K137" s="48" t="s">
        <v>35</v>
      </c>
      <c r="L137" s="121" t="s">
        <v>41</v>
      </c>
      <c r="M137" s="121"/>
      <c r="N137" s="119">
        <f>Tables!J31</f>
        <v>1.4</v>
      </c>
      <c r="O137" s="119"/>
      <c r="P137" s="50" t="s">
        <v>5</v>
      </c>
      <c r="Q137" s="12"/>
      <c r="R137" s="12"/>
      <c r="S137" s="12"/>
      <c r="T137" s="12"/>
      <c r="U137" s="12"/>
      <c r="V137" s="12"/>
    </row>
    <row r="138" spans="1:22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13.5">
      <c r="A147" s="12"/>
      <c r="B147" s="12"/>
      <c r="C147" s="12"/>
      <c r="D147" s="12"/>
      <c r="E147" s="12"/>
      <c r="F147" s="12"/>
      <c r="G147" s="12"/>
      <c r="N147" s="12"/>
      <c r="O147" s="12"/>
      <c r="P147" s="12"/>
      <c r="Q147" s="12"/>
      <c r="R147" s="12"/>
      <c r="S147" s="12"/>
      <c r="T147" s="12"/>
      <c r="U147" s="12"/>
      <c r="V147" s="12"/>
    </row>
  </sheetData>
  <sheetProtection password="CC36" sheet="1" objects="1" scenarios="1"/>
  <mergeCells count="60">
    <mergeCell ref="J82:K82"/>
    <mergeCell ref="Q76:R76"/>
    <mergeCell ref="Q77:R77"/>
    <mergeCell ref="Q78:R78"/>
    <mergeCell ref="J81:K81"/>
    <mergeCell ref="B66:F66"/>
    <mergeCell ref="B67:F67"/>
    <mergeCell ref="Q74:R74"/>
    <mergeCell ref="Q75:R75"/>
    <mergeCell ref="E60:F60"/>
    <mergeCell ref="E62:F62"/>
    <mergeCell ref="E64:F64"/>
    <mergeCell ref="A65:F65"/>
    <mergeCell ref="B48:R48"/>
    <mergeCell ref="B53:D53"/>
    <mergeCell ref="E53:F53"/>
    <mergeCell ref="B54:D54"/>
    <mergeCell ref="E54:F54"/>
    <mergeCell ref="Q124:R124"/>
    <mergeCell ref="Q125:R125"/>
    <mergeCell ref="J128:K128"/>
    <mergeCell ref="E111:F111"/>
    <mergeCell ref="Q121:R121"/>
    <mergeCell ref="Q122:R122"/>
    <mergeCell ref="Q123:R123"/>
    <mergeCell ref="A112:F112"/>
    <mergeCell ref="B113:F113"/>
    <mergeCell ref="B114:F114"/>
    <mergeCell ref="I137:J137"/>
    <mergeCell ref="B6:D6"/>
    <mergeCell ref="B7:D7"/>
    <mergeCell ref="B100:D100"/>
    <mergeCell ref="E100:F100"/>
    <mergeCell ref="B101:D101"/>
    <mergeCell ref="E101:F101"/>
    <mergeCell ref="E107:F107"/>
    <mergeCell ref="E109:F109"/>
    <mergeCell ref="J129:K129"/>
    <mergeCell ref="AJ27:AK27"/>
    <mergeCell ref="Q27:R27"/>
    <mergeCell ref="E17:F17"/>
    <mergeCell ref="E13:F13"/>
    <mergeCell ref="E15:F15"/>
    <mergeCell ref="A18:F18"/>
    <mergeCell ref="B19:F19"/>
    <mergeCell ref="B20:F20"/>
    <mergeCell ref="J34:K34"/>
    <mergeCell ref="Q29:R29"/>
    <mergeCell ref="Q30:R30"/>
    <mergeCell ref="Q31:R31"/>
    <mergeCell ref="B1:R1"/>
    <mergeCell ref="N137:O137"/>
    <mergeCell ref="A131:U131"/>
    <mergeCell ref="A135:U135"/>
    <mergeCell ref="A95:U95"/>
    <mergeCell ref="L137:M137"/>
    <mergeCell ref="Q28:R28"/>
    <mergeCell ref="E6:F6"/>
    <mergeCell ref="E7:F7"/>
    <mergeCell ref="J35:K3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selection activeCell="A1" sqref="A1"/>
    </sheetView>
  </sheetViews>
  <sheetFormatPr defaultColWidth="9.00390625" defaultRowHeight="12.75"/>
  <cols>
    <col min="1" max="1" width="7.50390625" style="0" customWidth="1"/>
    <col min="2" max="2" width="7.625" style="0" customWidth="1"/>
    <col min="12" max="12" width="10.375" style="0" bestFit="1" customWidth="1"/>
  </cols>
  <sheetData>
    <row r="1" spans="1:15" ht="15.75">
      <c r="A1" s="87">
        <v>5</v>
      </c>
      <c r="B1" s="33">
        <v>-9.8</v>
      </c>
      <c r="C1" s="33">
        <v>-9.7</v>
      </c>
      <c r="D1" s="87">
        <v>5</v>
      </c>
      <c r="E1" s="12"/>
      <c r="F1" s="51" t="s">
        <v>70</v>
      </c>
      <c r="G1" s="51" t="s">
        <v>71</v>
      </c>
      <c r="H1" s="106"/>
      <c r="I1" s="86" t="s">
        <v>74</v>
      </c>
      <c r="J1" s="86" t="s">
        <v>76</v>
      </c>
      <c r="K1" s="86" t="s">
        <v>77</v>
      </c>
      <c r="L1" s="12"/>
      <c r="M1" s="12"/>
      <c r="N1" s="12"/>
      <c r="O1" s="12"/>
    </row>
    <row r="2" spans="1:15" ht="13.5">
      <c r="A2" s="87">
        <v>5.07</v>
      </c>
      <c r="B2" s="33">
        <v>-9.7</v>
      </c>
      <c r="C2" s="33">
        <v>-9.6</v>
      </c>
      <c r="D2" s="87">
        <v>5.07</v>
      </c>
      <c r="E2" s="12"/>
      <c r="F2" s="12">
        <f>IF(VLP!F27="S",-VLP!B27,VLP!B27)</f>
        <v>26</v>
      </c>
      <c r="G2" s="12">
        <f>IF(VLP!F28="S",-VLP!B28,VLP!B28)</f>
        <v>-11</v>
      </c>
      <c r="H2" s="12"/>
      <c r="I2" s="45">
        <f>ACOS(COS(RADIANS(90-F2))*COS(RADIANS(90-G2))+SIN(RADIANS(90-F2))*SIN(RADIANS(90-G2))*COS(RADIANS(VLP!B29)))*57.29577951</f>
        <v>57.30128241811083</v>
      </c>
      <c r="J2" s="104">
        <f>ROUND(ATAN(1/(SIN(RADIANS(90-F2))/(SIN(RADIANS(VLP!B29))*TAN(RADIANS(90-Tables!G2)))-COS(RADIANS(90-Tables!F2))/TAN(RADIANS(VLP!B29))))*57.29577951,1)</f>
        <v>-55.6</v>
      </c>
      <c r="K2" s="45">
        <f>ROUND(ATAN(1/(SIN(RADIANS(90-G2))/(SIN(RADIANS(VLP!B29))*TAN(RADIANS(90-F2)))-COS(RADIANS(90-G2))/TAN(RADIANS(VLP!B29))))*57.29577951,0)</f>
        <v>49</v>
      </c>
      <c r="L2" s="12"/>
      <c r="M2" s="12"/>
      <c r="N2" s="12"/>
      <c r="O2" s="12"/>
    </row>
    <row r="3" spans="1:15" ht="13.5">
      <c r="A3" s="87">
        <v>5.13</v>
      </c>
      <c r="B3" s="33">
        <v>-9.6</v>
      </c>
      <c r="C3" s="33">
        <v>-9.5</v>
      </c>
      <c r="D3" s="87">
        <v>5.13</v>
      </c>
      <c r="E3" s="12"/>
      <c r="F3" s="45"/>
      <c r="G3" s="45"/>
      <c r="H3" s="45"/>
      <c r="I3" s="32"/>
      <c r="J3" s="33"/>
      <c r="K3" s="12"/>
      <c r="L3" s="12"/>
      <c r="M3" s="12"/>
      <c r="N3" s="12"/>
      <c r="O3" s="12"/>
    </row>
    <row r="4" spans="1:15" ht="15.75">
      <c r="A4" s="87">
        <v>5.18</v>
      </c>
      <c r="B4" s="33">
        <v>-9.5</v>
      </c>
      <c r="C4" s="33">
        <v>-9.4</v>
      </c>
      <c r="D4" s="87">
        <v>5.18</v>
      </c>
      <c r="E4" s="12"/>
      <c r="F4" s="51" t="s">
        <v>72</v>
      </c>
      <c r="G4" s="51" t="s">
        <v>73</v>
      </c>
      <c r="H4" s="106"/>
      <c r="I4" s="86" t="s">
        <v>75</v>
      </c>
      <c r="J4" s="86" t="s">
        <v>78</v>
      </c>
      <c r="K4" s="86" t="s">
        <v>79</v>
      </c>
      <c r="L4" s="12"/>
      <c r="M4" s="12"/>
      <c r="N4" s="12"/>
      <c r="O4" s="12"/>
    </row>
    <row r="5" spans="1:15" ht="13.5">
      <c r="A5" s="87">
        <v>5.25</v>
      </c>
      <c r="B5" s="33">
        <v>-9.4</v>
      </c>
      <c r="C5" s="33">
        <v>-9.29999999999999</v>
      </c>
      <c r="D5" s="87">
        <v>5.25</v>
      </c>
      <c r="E5" s="12"/>
      <c r="F5" s="12">
        <f>IF(VLP!F74="S",-VLP!B74,VLP!B74)</f>
        <v>26</v>
      </c>
      <c r="G5" s="12">
        <f>IF(VLP!F75="S",-VLP!B75,VLP!B75)</f>
        <v>89</v>
      </c>
      <c r="H5" s="12"/>
      <c r="I5" s="45">
        <f>ACOS(COS(RADIANS(90-F5))*COS(RADIANS(90-G5))+SIN(RADIANS(90-F5))*SIN(RADIANS(90-G5))*COS(RADIANS(VLP!B76)))*57.29577951</f>
        <v>64.48803332918733</v>
      </c>
      <c r="J5" s="104">
        <f>ROUND(ATAN(1/(SIN(RADIANS(90-F5))/(SIN(RADIANS(VLP!B76))*TAN(RADIANS(90-Tables!G5)))-COS(RADIANS(90-Tables!F5))/TAN(RADIANS(VLP!B76))))*57.29577951,1)</f>
        <v>1</v>
      </c>
      <c r="K5" s="45">
        <f>ROUND(ATAN(1/(SIN(RADIANS(90-G5))/(SIN(RADIANS(VLP!B76))*TAN(RADIANS(90-F5)))-COS(RADIANS(90-G5))/TAN(RADIANS(VLP!B76))))*57.29577951,0)</f>
        <v>61</v>
      </c>
      <c r="L5" s="12"/>
      <c r="M5" s="12"/>
      <c r="N5" s="12"/>
      <c r="O5" s="12"/>
    </row>
    <row r="6" spans="1:15" ht="13.5">
      <c r="A6" s="87">
        <v>5.33</v>
      </c>
      <c r="B6" s="33">
        <v>-9.29999999999999</v>
      </c>
      <c r="C6" s="33">
        <v>-9.19999999999999</v>
      </c>
      <c r="D6" s="87">
        <v>5.33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87">
        <v>5.4</v>
      </c>
      <c r="B7" s="33">
        <v>-9.19999999999999</v>
      </c>
      <c r="C7" s="33">
        <v>-9.09999999999999</v>
      </c>
      <c r="D7" s="87">
        <v>5.4</v>
      </c>
      <c r="E7" s="12"/>
      <c r="F7" s="51" t="s">
        <v>88</v>
      </c>
      <c r="G7" s="51" t="s">
        <v>89</v>
      </c>
      <c r="H7" s="106"/>
      <c r="I7" s="86" t="s">
        <v>90</v>
      </c>
      <c r="J7" s="86" t="s">
        <v>91</v>
      </c>
      <c r="K7" s="86" t="s">
        <v>92</v>
      </c>
      <c r="L7" s="12"/>
      <c r="M7" s="12"/>
      <c r="N7" s="12"/>
      <c r="O7" s="12"/>
    </row>
    <row r="8" spans="1:15" ht="13.5">
      <c r="A8" s="87">
        <v>5.47</v>
      </c>
      <c r="B8" s="33">
        <v>-9.09999999999999</v>
      </c>
      <c r="C8" s="33">
        <v>-8.99999999999999</v>
      </c>
      <c r="D8" s="87">
        <v>5.47</v>
      </c>
      <c r="E8" s="12"/>
      <c r="F8" s="12">
        <f>IF(VLP!F121="S",-VLP!B121,VLP!B121)</f>
        <v>26</v>
      </c>
      <c r="G8" s="12">
        <f>IF(VLP!F122="S",-VLP!B122,VLP!B122)</f>
        <v>7</v>
      </c>
      <c r="H8" s="12"/>
      <c r="I8" s="45">
        <f>ACOS(COS(RADIANS(90-F8))*COS(RADIANS(90-G8))+SIN(RADIANS(90-F8))*SIN(RADIANS(90-G8))*COS(RADIANS(VLP!B123)))*57.29577951</f>
        <v>68.09170499038578</v>
      </c>
      <c r="J8" s="104">
        <f>ROUND(ATAN(1/(SIN(RADIANS(90-F8))/(SIN(RADIANS(VLP!B123))*TAN(RADIANS(90-Tables!G8)))-COS(RADIANS(90-Tables!F8))/TAN(RADIANS(VLP!B123))))*57.29577951,1)</f>
        <v>-87.1</v>
      </c>
      <c r="K8" s="45">
        <f>ROUND(ATAN(1/(SIN(RADIANS(90-G8))/(SIN(RADIANS(VLP!B123))*TAN(RADIANS(90-F8)))-COS(RADIANS(90-G8))/TAN(RADIANS(VLP!B123))))*57.29577951,0)</f>
        <v>65</v>
      </c>
      <c r="L8" s="12"/>
      <c r="M8" s="12"/>
      <c r="N8" s="12"/>
      <c r="O8" s="12"/>
    </row>
    <row r="9" spans="1:15" ht="13.5">
      <c r="A9" s="87">
        <v>5.53</v>
      </c>
      <c r="B9" s="33">
        <v>-8.99999999999999</v>
      </c>
      <c r="C9" s="33">
        <v>-8.89999999999999</v>
      </c>
      <c r="D9" s="87">
        <v>5.53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3.5">
      <c r="A10" s="87">
        <v>5.62</v>
      </c>
      <c r="B10" s="33">
        <v>-8.89999999999999</v>
      </c>
      <c r="C10" s="33">
        <v>-8.79999999999999</v>
      </c>
      <c r="D10" s="87">
        <v>5.62</v>
      </c>
      <c r="E10" s="12"/>
      <c r="F10" s="87">
        <f>VLOOKUP(F12,$A$1:$B$100,1)</f>
        <v>31.95</v>
      </c>
      <c r="G10" s="33">
        <f>VLOOKUP(F10,$A$1:$B$100,2)</f>
        <v>-1.49999999999996</v>
      </c>
      <c r="H10" s="12"/>
      <c r="I10" s="12"/>
      <c r="J10" s="12"/>
      <c r="K10" s="12"/>
      <c r="L10" s="12"/>
      <c r="M10" s="12"/>
      <c r="N10" s="12"/>
      <c r="O10" s="12"/>
    </row>
    <row r="11" spans="1:15" ht="15.75">
      <c r="A11" s="87">
        <v>5.68</v>
      </c>
      <c r="B11" s="33">
        <v>-8.79999999999999</v>
      </c>
      <c r="C11" s="33">
        <v>-8.69999999999998</v>
      </c>
      <c r="D11" s="87">
        <v>5.68</v>
      </c>
      <c r="E11" s="12"/>
      <c r="F11" s="12">
        <f>VLOOKUP(G11,$B$1:$D$100,3)</f>
        <v>33.77</v>
      </c>
      <c r="G11" s="12">
        <f>VLOOKUP(F10,$A$1:$C$100,3)</f>
        <v>-1.39999999999996</v>
      </c>
      <c r="H11" s="12"/>
      <c r="I11" s="93" t="s">
        <v>86</v>
      </c>
      <c r="J11" s="89">
        <f>VLP!B101-VLP!B7</f>
        <v>0.0016782407407406885</v>
      </c>
      <c r="K11" s="12">
        <f>MINUTE(J11)</f>
        <v>2</v>
      </c>
      <c r="L11" s="12">
        <f>SECOND(J11)</f>
        <v>25</v>
      </c>
      <c r="M11" s="12">
        <f>ROUND(K11+L11/60,1)</f>
        <v>2.4</v>
      </c>
      <c r="N11" s="12"/>
      <c r="O11" s="12"/>
    </row>
    <row r="12" spans="1:15" ht="15.75">
      <c r="A12" s="87">
        <v>5.77</v>
      </c>
      <c r="B12" s="33">
        <v>-8.69999999999998</v>
      </c>
      <c r="C12" s="33">
        <v>-8.59999999999998</v>
      </c>
      <c r="D12" s="87">
        <v>5.77</v>
      </c>
      <c r="E12" s="12"/>
      <c r="F12" s="87">
        <f>ROUND(VLP!J15+VLP!L15/60,2)</f>
        <v>32.95</v>
      </c>
      <c r="G12" s="12"/>
      <c r="H12" s="12"/>
      <c r="I12" s="51" t="s">
        <v>87</v>
      </c>
      <c r="J12" s="94">
        <f>ROUND((VLP!D17/60)*(Tables!M11)*COS(RADIANS(VLP!J34-VLP!D16)),1)</f>
        <v>-0.5</v>
      </c>
      <c r="K12" s="12"/>
      <c r="L12" s="12"/>
      <c r="M12" s="12"/>
      <c r="N12" s="12"/>
      <c r="O12" s="12"/>
    </row>
    <row r="13" spans="1:15" ht="15.75">
      <c r="A13" s="87">
        <v>5.83</v>
      </c>
      <c r="B13" s="33">
        <v>-8.59999999999998</v>
      </c>
      <c r="C13" s="33">
        <v>-8.49999999999998</v>
      </c>
      <c r="D13" s="87">
        <v>5.83</v>
      </c>
      <c r="E13" s="12"/>
      <c r="F13" s="86" t="s">
        <v>67</v>
      </c>
      <c r="G13" s="33">
        <f>IF(F12-F10&gt;F11-F12,G11,G10)</f>
        <v>-1.39999999999996</v>
      </c>
      <c r="H13" s="12"/>
      <c r="I13" s="32"/>
      <c r="J13" s="12"/>
      <c r="K13" s="12"/>
      <c r="L13" s="12"/>
      <c r="M13" s="12"/>
      <c r="N13" s="12"/>
      <c r="O13" s="12"/>
    </row>
    <row r="14" spans="1:15" ht="15.75">
      <c r="A14" s="87">
        <v>5.92</v>
      </c>
      <c r="B14" s="33">
        <v>-8.49999999999998</v>
      </c>
      <c r="C14" s="33">
        <v>-8.39999999999998</v>
      </c>
      <c r="D14" s="87">
        <v>5.92</v>
      </c>
      <c r="E14" s="12"/>
      <c r="F14" s="12"/>
      <c r="G14" s="12"/>
      <c r="H14" s="12"/>
      <c r="I14" s="93" t="s">
        <v>93</v>
      </c>
      <c r="J14" s="89">
        <f>VLP!B101-VLP!B54</f>
        <v>0.0009027777777777524</v>
      </c>
      <c r="K14" s="12">
        <f>MINUTE(J14)</f>
        <v>1</v>
      </c>
      <c r="L14" s="12">
        <f>SECOND(J14)</f>
        <v>18</v>
      </c>
      <c r="M14" s="12">
        <f>ROUND(K14+L14/60,1)</f>
        <v>1.3</v>
      </c>
      <c r="N14" s="12"/>
      <c r="O14" s="12"/>
    </row>
    <row r="15" spans="1:15" ht="15.75">
      <c r="A15" s="87">
        <v>6</v>
      </c>
      <c r="B15" s="33">
        <v>-8.39999999999998</v>
      </c>
      <c r="C15" s="33">
        <v>-8.29999999999998</v>
      </c>
      <c r="D15" s="87">
        <v>6</v>
      </c>
      <c r="E15" s="12"/>
      <c r="F15" s="87">
        <f>VLOOKUP(F17,$A$1:$B$100,1)</f>
        <v>25.17</v>
      </c>
      <c r="G15" s="33">
        <f>VLOOKUP(F15,$A$1:$B$100,2)</f>
        <v>-1.99999999999996</v>
      </c>
      <c r="H15" s="12"/>
      <c r="I15" s="51" t="s">
        <v>94</v>
      </c>
      <c r="J15" s="94">
        <f>ROUND((VLP!D64/60)*(Tables!M14)*COS(RADIANS(VLP!J81-VLP!D63)),1)</f>
        <v>0.1</v>
      </c>
      <c r="K15" s="12"/>
      <c r="L15" s="12"/>
      <c r="M15" s="12"/>
      <c r="N15" s="12"/>
      <c r="O15" s="12"/>
    </row>
    <row r="16" spans="1:16" ht="13.5">
      <c r="A16" s="87">
        <v>6.08</v>
      </c>
      <c r="B16" s="33">
        <v>-8.29999999999998</v>
      </c>
      <c r="C16" s="33">
        <v>-8.19999999999998</v>
      </c>
      <c r="D16" s="87">
        <v>6.08</v>
      </c>
      <c r="E16" s="12"/>
      <c r="F16" s="12">
        <f>VLOOKUP(G16,$B$1:$D$100,3)</f>
        <v>26.32</v>
      </c>
      <c r="G16" s="12">
        <f>VLOOKUP(F15,$A$1:$C$100,3)</f>
        <v>-1.89999999999996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75">
      <c r="A17" s="87">
        <v>6.17</v>
      </c>
      <c r="B17" s="33">
        <v>-8.19999999999998</v>
      </c>
      <c r="C17" s="33">
        <v>-8.09999999999998</v>
      </c>
      <c r="D17" s="87">
        <v>6.17</v>
      </c>
      <c r="E17" s="12"/>
      <c r="F17" s="87">
        <f>ROUND(VLP!J62+VLP!L62/60,2)</f>
        <v>26.02</v>
      </c>
      <c r="G17" s="12"/>
      <c r="H17" s="12"/>
      <c r="I17" s="105" t="s">
        <v>48</v>
      </c>
      <c r="J17" s="12">
        <f>VLP!J34</f>
        <v>124.8</v>
      </c>
      <c r="K17" s="12"/>
      <c r="L17" s="105" t="s">
        <v>46</v>
      </c>
      <c r="M17" s="12">
        <f>VLP!J35</f>
        <v>0.8</v>
      </c>
      <c r="N17" s="12"/>
      <c r="O17" s="12"/>
      <c r="P17" s="12"/>
    </row>
    <row r="18" spans="1:16" ht="15.75">
      <c r="A18" s="87">
        <v>6.27</v>
      </c>
      <c r="B18" s="33">
        <v>-8.09999999999998</v>
      </c>
      <c r="C18" s="33">
        <v>-7.99999999999998</v>
      </c>
      <c r="D18" s="87">
        <v>6.27</v>
      </c>
      <c r="E18" s="12"/>
      <c r="F18" s="86" t="s">
        <v>68</v>
      </c>
      <c r="G18" s="33">
        <f>IF(F17-F15&gt;F16-F17,G16,G15)</f>
        <v>-1.89999999999996</v>
      </c>
      <c r="H18" s="12"/>
      <c r="I18" s="105" t="s">
        <v>49</v>
      </c>
      <c r="J18" s="12">
        <f>VLP!J81</f>
        <v>359.3</v>
      </c>
      <c r="K18" s="12"/>
      <c r="L18" s="105" t="s">
        <v>47</v>
      </c>
      <c r="M18" s="12">
        <f>VLP!J82</f>
        <v>-0.7</v>
      </c>
      <c r="N18" s="12"/>
      <c r="O18" s="12"/>
      <c r="P18" s="12"/>
    </row>
    <row r="19" spans="1:16" ht="15.75">
      <c r="A19" s="87">
        <v>6.35</v>
      </c>
      <c r="B19" s="33">
        <v>-7.99999999999998</v>
      </c>
      <c r="C19" s="33">
        <v>-7.89999999999998</v>
      </c>
      <c r="D19" s="87">
        <v>6.35</v>
      </c>
      <c r="E19" s="12"/>
      <c r="F19" s="12"/>
      <c r="G19" s="12"/>
      <c r="H19" s="12"/>
      <c r="I19" s="105" t="s">
        <v>84</v>
      </c>
      <c r="J19" s="12">
        <f>VLP!J128</f>
        <v>267.2</v>
      </c>
      <c r="K19" s="12"/>
      <c r="L19" s="105" t="s">
        <v>85</v>
      </c>
      <c r="M19" s="12">
        <f>VLP!J129</f>
        <v>-0.7</v>
      </c>
      <c r="N19" s="12"/>
      <c r="O19" s="12"/>
      <c r="P19" s="12"/>
    </row>
    <row r="20" spans="1:16" ht="13.5">
      <c r="A20" s="87">
        <v>6.43</v>
      </c>
      <c r="B20" s="33">
        <v>-7.89999999999998</v>
      </c>
      <c r="C20" s="33">
        <v>-7.79999999999998</v>
      </c>
      <c r="D20" s="87">
        <v>6.43</v>
      </c>
      <c r="E20" s="12"/>
      <c r="F20" s="87">
        <f>VLOOKUP(F22,$A$1:$B$100,1)</f>
        <v>22.27</v>
      </c>
      <c r="G20" s="33">
        <f>VLOOKUP(F20,$A$1:$B$100,2)</f>
        <v>-2.29999999999997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.75">
      <c r="A21" s="87">
        <v>6.53</v>
      </c>
      <c r="B21" s="33">
        <v>-7.79999999999998</v>
      </c>
      <c r="C21" s="33">
        <v>-7.69999999999998</v>
      </c>
      <c r="D21" s="87">
        <v>6.53</v>
      </c>
      <c r="E21" s="12"/>
      <c r="F21" s="12">
        <f>VLOOKUP(G21,$B$1:$D$100,3)</f>
        <v>23.17</v>
      </c>
      <c r="G21" s="12">
        <f>VLOOKUP(F20,$A$1:$C$100,3)</f>
        <v>-2.19999999999997</v>
      </c>
      <c r="H21" s="88"/>
      <c r="I21" s="93" t="s">
        <v>97</v>
      </c>
      <c r="J21" s="12">
        <f>IF(90+(J17+J19)/2&gt;=360,(90+(J17+J19)/2)-360,90+(J17+J19)/2)</f>
        <v>286</v>
      </c>
      <c r="K21" s="12"/>
      <c r="L21" s="105" t="s">
        <v>95</v>
      </c>
      <c r="M21" s="12">
        <f>(M19-M17)/(2*SIN(RADIANS(J19-J17)))</f>
        <v>-1.2292156758311419</v>
      </c>
      <c r="N21" s="12"/>
      <c r="O21" s="12"/>
      <c r="P21" s="12"/>
    </row>
    <row r="22" spans="1:16" ht="15.75">
      <c r="A22" s="87">
        <v>6.63</v>
      </c>
      <c r="B22" s="33">
        <v>-7.69999999999998</v>
      </c>
      <c r="C22" s="33">
        <v>-7.59999999999998</v>
      </c>
      <c r="D22" s="87">
        <v>6.63</v>
      </c>
      <c r="E22" s="12"/>
      <c r="F22" s="87">
        <f>ROUND(VLP!J109+VLP!L109/60,2)</f>
        <v>22.56</v>
      </c>
      <c r="G22" s="12"/>
      <c r="H22" s="12"/>
      <c r="I22" s="93" t="s">
        <v>98</v>
      </c>
      <c r="J22" s="12">
        <f>IF(90+(J18+J19)/2&gt;=360,(90+(J18+J19)/2)-360,90+(J18+J19)/2)</f>
        <v>43.25</v>
      </c>
      <c r="K22" s="12"/>
      <c r="L22" s="105" t="s">
        <v>96</v>
      </c>
      <c r="M22" s="12">
        <f>(M19-M18)/(2*SIN(RADIANS(J19-J18)))</f>
        <v>0</v>
      </c>
      <c r="N22" s="12"/>
      <c r="O22" s="12"/>
      <c r="P22" s="12"/>
    </row>
    <row r="23" spans="1:16" ht="15.75">
      <c r="A23" s="87">
        <v>6.73</v>
      </c>
      <c r="B23" s="33">
        <v>-7.59999999999998</v>
      </c>
      <c r="C23" s="33">
        <v>-7.49999999999998</v>
      </c>
      <c r="D23" s="87">
        <v>6.73</v>
      </c>
      <c r="E23" s="12"/>
      <c r="F23" s="86" t="s">
        <v>83</v>
      </c>
      <c r="G23" s="33">
        <f>IF(F22-F20&gt;F21-F22,G21,G20)</f>
        <v>-2.29999999999997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5.75">
      <c r="A24" s="87">
        <v>6.83</v>
      </c>
      <c r="B24" s="33">
        <v>-7.49999999999998</v>
      </c>
      <c r="C24" s="33">
        <v>-7.39999999999998</v>
      </c>
      <c r="D24" s="87">
        <v>6.83</v>
      </c>
      <c r="E24" s="12"/>
      <c r="F24" s="12"/>
      <c r="G24" s="12"/>
      <c r="H24" s="105" t="s">
        <v>37</v>
      </c>
      <c r="I24" s="12">
        <f>(M22*COS(RADIANS(J21))-M21*COS(RADIANS(J22)))/(COS(RADIANS(J21))*SIN(RADIANS(J22))-COS(RADIANS(J22))*SIN(RADIANS(J21)))</f>
        <v>1.0070953328340786</v>
      </c>
      <c r="J24" s="12"/>
      <c r="K24" s="12">
        <f>Data!B50*60+Data!C50+IF(Data!D50="s",-Tables!I25,Tables!I25)</f>
        <v>1574.6526193104505</v>
      </c>
      <c r="L24" s="12">
        <f>K24/60</f>
        <v>26.244210321840843</v>
      </c>
      <c r="M24" s="12"/>
      <c r="N24" s="12"/>
      <c r="O24" s="12"/>
      <c r="P24" s="12"/>
    </row>
    <row r="25" spans="1:16" ht="15.75">
      <c r="A25" s="87">
        <v>6.93</v>
      </c>
      <c r="B25" s="33">
        <v>-7.39999999999998</v>
      </c>
      <c r="C25" s="33">
        <v>-7.29999999999998</v>
      </c>
      <c r="D25" s="87">
        <v>6.93</v>
      </c>
      <c r="E25" s="12"/>
      <c r="F25" s="12"/>
      <c r="G25" s="12"/>
      <c r="H25" s="105" t="s">
        <v>38</v>
      </c>
      <c r="I25" s="12">
        <f>(M21*SIN(RADIANS(J22))-M22*SIN(RADIANS(J21)))/(COS(RADIANS(J21))*SIN(RADIANS(J22))-COS(RADIANS(J22))*SIN(RADIANS(J21)))</f>
        <v>-0.9473806895494278</v>
      </c>
      <c r="J25" s="12"/>
      <c r="K25" s="12">
        <f>K24-I25/2</f>
        <v>1575.1263096552252</v>
      </c>
      <c r="L25" s="45">
        <f>RADIANS(K25/60)</f>
        <v>0.45818567063785715</v>
      </c>
      <c r="M25" s="12"/>
      <c r="N25" s="12"/>
      <c r="O25" s="12"/>
      <c r="P25" s="12"/>
    </row>
    <row r="26" spans="1:16" ht="13.5">
      <c r="A26" s="87">
        <v>7.03</v>
      </c>
      <c r="B26" s="33">
        <v>-7.29999999999998</v>
      </c>
      <c r="C26" s="33">
        <v>-7.19999999999998</v>
      </c>
      <c r="D26" s="87">
        <v>7.03</v>
      </c>
      <c r="E26" s="12"/>
      <c r="F26" s="12"/>
      <c r="G26" s="12"/>
      <c r="H26" s="88"/>
      <c r="I26" s="12"/>
      <c r="J26" s="12"/>
      <c r="K26" s="12">
        <f>I24/COS(L25)</f>
        <v>1.122916925570487</v>
      </c>
      <c r="L26" s="12">
        <f>Data!B51*60+Data!C51+IF(Data!D51="w",-Tables!K26,Tables!K26)</f>
        <v>5488.0770830744295</v>
      </c>
      <c r="M26" s="12">
        <f>L26/60</f>
        <v>91.46795138457382</v>
      </c>
      <c r="N26" s="12"/>
      <c r="O26" s="12"/>
      <c r="P26" s="12"/>
    </row>
    <row r="27" spans="1:16" ht="15.75">
      <c r="A27" s="87">
        <v>7.15</v>
      </c>
      <c r="B27" s="33">
        <v>-7.19999999999998</v>
      </c>
      <c r="C27" s="33">
        <v>-7.09999999999999</v>
      </c>
      <c r="D27" s="87">
        <v>7.15</v>
      </c>
      <c r="E27" s="12"/>
      <c r="F27" s="12"/>
      <c r="G27" s="12"/>
      <c r="H27" s="93" t="s">
        <v>1</v>
      </c>
      <c r="I27" s="12">
        <f>ROUNDDOWN(L24,0)</f>
        <v>26</v>
      </c>
      <c r="J27" s="12">
        <f>ROUND((L24-I27)*60,1)</f>
        <v>14.7</v>
      </c>
      <c r="K27" s="12"/>
      <c r="L27" s="12"/>
      <c r="M27" s="12"/>
      <c r="N27" s="12"/>
      <c r="O27" s="12"/>
      <c r="P27" s="12"/>
    </row>
    <row r="28" spans="1:16" ht="15.75">
      <c r="A28" s="87">
        <v>7.25</v>
      </c>
      <c r="B28" s="33">
        <v>-7.09999999999999</v>
      </c>
      <c r="C28" s="33">
        <v>-6.99999999999999</v>
      </c>
      <c r="D28" s="87">
        <v>7.25</v>
      </c>
      <c r="E28" s="12"/>
      <c r="F28" s="12"/>
      <c r="G28" s="12"/>
      <c r="H28" s="93" t="s">
        <v>2</v>
      </c>
      <c r="I28" s="12">
        <f>ROUNDDOWN(M26,0)</f>
        <v>91</v>
      </c>
      <c r="J28" s="12">
        <f>ROUND((M26-I28)*60,1)</f>
        <v>28.1</v>
      </c>
      <c r="K28" s="12"/>
      <c r="L28" s="12"/>
      <c r="M28" s="12"/>
      <c r="N28" s="12"/>
      <c r="O28" s="12"/>
      <c r="P28" s="12"/>
    </row>
    <row r="29" spans="1:16" ht="13.5">
      <c r="A29" s="87">
        <v>7.37</v>
      </c>
      <c r="B29" s="33">
        <v>-6.99999999999999</v>
      </c>
      <c r="C29" s="33">
        <v>-6.89999999999999</v>
      </c>
      <c r="D29" s="87">
        <v>7.37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3.5">
      <c r="A30" s="87">
        <v>7.48</v>
      </c>
      <c r="B30" s="33">
        <v>-6.89999999999999</v>
      </c>
      <c r="C30" s="33">
        <v>-6.79999999999999</v>
      </c>
      <c r="D30" s="87">
        <v>7.48</v>
      </c>
      <c r="E30" s="12"/>
      <c r="F30" s="12"/>
      <c r="G30" s="12"/>
      <c r="H30" s="12"/>
      <c r="I30" s="12">
        <f>ABS(DEGREES(ATAN(I24/I25)))</f>
        <v>46.75000000000001</v>
      </c>
      <c r="J30" s="12"/>
      <c r="K30" s="12"/>
      <c r="L30" s="12"/>
      <c r="M30" s="12"/>
      <c r="N30" s="12"/>
      <c r="O30" s="12"/>
      <c r="P30" s="12"/>
    </row>
    <row r="31" spans="1:16" ht="13.5">
      <c r="A31" s="87">
        <v>7.62</v>
      </c>
      <c r="B31" s="33">
        <v>-6.79999999999999</v>
      </c>
      <c r="C31" s="33">
        <v>-6.69999999999999</v>
      </c>
      <c r="D31" s="87">
        <v>7.62</v>
      </c>
      <c r="E31" s="12"/>
      <c r="F31" s="12"/>
      <c r="G31" s="12"/>
      <c r="H31" s="12"/>
      <c r="I31" s="12">
        <f>ROUND(IF(I24&gt;0,IF(I25&gt;0,I30,180-I30),IF(I25&gt;0,360-I30,180+I30)),1)</f>
        <v>133.3</v>
      </c>
      <c r="J31" s="33">
        <f>ROUND(SQRT(I25*I25+I24*I24),1)</f>
        <v>1.4</v>
      </c>
      <c r="K31" s="12"/>
      <c r="L31" s="12"/>
      <c r="M31" s="12"/>
      <c r="N31" s="12"/>
      <c r="O31" s="12"/>
      <c r="P31" s="12"/>
    </row>
    <row r="32" spans="1:16" ht="13.5">
      <c r="A32" s="87">
        <v>7.73</v>
      </c>
      <c r="B32" s="33">
        <v>-6.69999999999999</v>
      </c>
      <c r="C32" s="33">
        <v>-6.59999999999999</v>
      </c>
      <c r="D32" s="87">
        <v>7.73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5" ht="13.5">
      <c r="A33" s="87">
        <v>7.87</v>
      </c>
      <c r="B33" s="33">
        <v>-6.59999999999999</v>
      </c>
      <c r="C33" s="33">
        <v>-6.49999999999999</v>
      </c>
      <c r="D33" s="87">
        <v>7.87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3.5">
      <c r="A34" s="87">
        <v>8</v>
      </c>
      <c r="B34" s="33">
        <v>-6.49999999999999</v>
      </c>
      <c r="C34" s="33">
        <v>-6.39999999999999</v>
      </c>
      <c r="D34" s="87">
        <v>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3.5">
      <c r="A35" s="87">
        <v>8.13</v>
      </c>
      <c r="B35" s="33">
        <v>-6.39999999999999</v>
      </c>
      <c r="C35" s="33">
        <v>-6.29999999999999</v>
      </c>
      <c r="D35" s="87">
        <v>8.13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3.5">
      <c r="A36" s="87">
        <v>8.27</v>
      </c>
      <c r="B36" s="33">
        <v>-6.29999999999999</v>
      </c>
      <c r="C36" s="33">
        <v>-6.19999999999999</v>
      </c>
      <c r="D36" s="87">
        <v>8.27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3.5">
      <c r="A37" s="87">
        <v>8.4</v>
      </c>
      <c r="B37" s="33">
        <v>-6.19999999999999</v>
      </c>
      <c r="C37" s="33">
        <v>-6.09999999999999</v>
      </c>
      <c r="D37" s="87">
        <v>8.4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3.5">
      <c r="A38" s="87">
        <v>8.55</v>
      </c>
      <c r="B38" s="33">
        <v>-6.09999999999999</v>
      </c>
      <c r="C38" s="33">
        <v>-5.99999999999999</v>
      </c>
      <c r="D38" s="87">
        <v>8.55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3.5">
      <c r="A39" s="87">
        <v>8.7</v>
      </c>
      <c r="B39" s="33">
        <v>-5.99999999999999</v>
      </c>
      <c r="C39" s="33">
        <v>-5.89999999999999</v>
      </c>
      <c r="D39" s="87">
        <v>8.7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3.5">
      <c r="A40" s="87">
        <v>8.87</v>
      </c>
      <c r="B40" s="33">
        <v>-5.89999999999999</v>
      </c>
      <c r="C40" s="33">
        <v>-5.79999999999999</v>
      </c>
      <c r="D40" s="87">
        <v>8.87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3.5">
      <c r="A41" s="87">
        <v>9.03</v>
      </c>
      <c r="B41" s="33">
        <v>-5.79999999999999</v>
      </c>
      <c r="C41" s="33">
        <v>-5.69999999999998</v>
      </c>
      <c r="D41" s="87">
        <v>9.03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3.5">
      <c r="A42" s="87">
        <v>9.2</v>
      </c>
      <c r="B42" s="33">
        <v>-5.69999999999998</v>
      </c>
      <c r="C42" s="33">
        <v>-5.59999999999998</v>
      </c>
      <c r="D42" s="87">
        <v>9.2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3.5">
      <c r="A43" s="87">
        <v>9.37</v>
      </c>
      <c r="B43" s="33">
        <v>-5.59999999999998</v>
      </c>
      <c r="C43" s="33">
        <v>-5.49999999999998</v>
      </c>
      <c r="D43" s="87">
        <v>9.37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3.5">
      <c r="A44" s="87">
        <v>9.55</v>
      </c>
      <c r="B44" s="33">
        <v>-5.49999999999998</v>
      </c>
      <c r="C44" s="33">
        <v>-5.39999999999998</v>
      </c>
      <c r="D44" s="87">
        <v>9.55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3.5">
      <c r="A45" s="87">
        <v>9.73</v>
      </c>
      <c r="B45" s="33">
        <v>-5.39999999999998</v>
      </c>
      <c r="C45" s="33">
        <v>-5.29999999999998</v>
      </c>
      <c r="D45" s="87">
        <v>9.73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3.5">
      <c r="A46" s="87">
        <v>9.92</v>
      </c>
      <c r="B46" s="33">
        <v>-5.29999999999998</v>
      </c>
      <c r="C46" s="33">
        <v>-5.19999999999998</v>
      </c>
      <c r="D46" s="87">
        <v>9.92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3.5">
      <c r="A47" s="87">
        <v>10.12</v>
      </c>
      <c r="B47" s="33">
        <v>-5.19999999999998</v>
      </c>
      <c r="C47" s="33">
        <v>-5.09999999999998</v>
      </c>
      <c r="D47" s="87">
        <v>10.12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87">
        <v>10.32</v>
      </c>
      <c r="B48" s="33">
        <v>-5.09999999999998</v>
      </c>
      <c r="C48" s="33">
        <v>-4.99999999999998</v>
      </c>
      <c r="D48" s="87">
        <v>10.32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87">
        <v>10.53</v>
      </c>
      <c r="B49" s="33">
        <v>-4.99999999999998</v>
      </c>
      <c r="C49" s="33">
        <v>-4.89999999999998</v>
      </c>
      <c r="D49" s="87">
        <v>10.53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87">
        <v>10.75</v>
      </c>
      <c r="B50" s="33">
        <v>-4.89999999999998</v>
      </c>
      <c r="C50" s="33">
        <v>-4.79999999999998</v>
      </c>
      <c r="D50" s="87">
        <v>10.75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87">
        <v>10.98</v>
      </c>
      <c r="B51" s="33">
        <v>-4.79999999999998</v>
      </c>
      <c r="C51" s="33">
        <v>-4.69999999999998</v>
      </c>
      <c r="D51" s="87">
        <v>10.98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87">
        <v>11.22</v>
      </c>
      <c r="B52" s="33">
        <v>-4.69999999999998</v>
      </c>
      <c r="C52" s="33">
        <v>-4.59999999999998</v>
      </c>
      <c r="D52" s="87">
        <v>11.22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87">
        <v>11.48</v>
      </c>
      <c r="B53" s="33">
        <v>-4.59999999999998</v>
      </c>
      <c r="C53" s="33">
        <v>-4.49999999999998</v>
      </c>
      <c r="D53" s="87">
        <v>11.48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87">
        <v>11.73</v>
      </c>
      <c r="B54" s="33">
        <v>-4.49999999999998</v>
      </c>
      <c r="C54" s="33">
        <v>-4.39999999999998</v>
      </c>
      <c r="D54" s="87">
        <v>11.73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3.5">
      <c r="A55" s="87">
        <v>12</v>
      </c>
      <c r="B55" s="33">
        <v>-4.39999999999998</v>
      </c>
      <c r="C55" s="33">
        <v>-4.29999999999998</v>
      </c>
      <c r="D55" s="87">
        <v>12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3.5">
      <c r="A56" s="87">
        <v>12.28</v>
      </c>
      <c r="B56" s="33">
        <v>-4.29999999999998</v>
      </c>
      <c r="C56" s="33">
        <v>-4.19999999999998</v>
      </c>
      <c r="D56" s="87">
        <v>12.28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3.5">
      <c r="A57" s="87">
        <v>12.57</v>
      </c>
      <c r="B57" s="33">
        <v>-4.19999999999998</v>
      </c>
      <c r="C57" s="33">
        <v>-4.09999999999998</v>
      </c>
      <c r="D57" s="87">
        <v>12.57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3.5">
      <c r="A58" s="87">
        <v>12.88</v>
      </c>
      <c r="B58" s="33">
        <v>-4.09999999999998</v>
      </c>
      <c r="C58" s="33">
        <v>-3.99999999999998</v>
      </c>
      <c r="D58" s="87">
        <v>12.88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3.5">
      <c r="A59" s="87">
        <v>13.2</v>
      </c>
      <c r="B59" s="33">
        <v>-3.99999999999998</v>
      </c>
      <c r="C59" s="33">
        <v>-3.89999999999998</v>
      </c>
      <c r="D59" s="87">
        <v>13.2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3.5">
      <c r="A60" s="87">
        <v>13.53</v>
      </c>
      <c r="B60" s="33">
        <v>-3.89999999999998</v>
      </c>
      <c r="C60" s="33">
        <v>-3.79999999999997</v>
      </c>
      <c r="D60" s="87">
        <v>13.53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3.5">
      <c r="A61" s="87">
        <v>13.88</v>
      </c>
      <c r="B61" s="33">
        <v>-3.79999999999997</v>
      </c>
      <c r="C61" s="33">
        <v>-3.69999999999997</v>
      </c>
      <c r="D61" s="87">
        <v>13.88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3.5">
      <c r="A62" s="87">
        <v>14.25</v>
      </c>
      <c r="B62" s="33">
        <v>-3.69999999999997</v>
      </c>
      <c r="C62" s="33">
        <v>-3.59999999999997</v>
      </c>
      <c r="D62" s="87">
        <v>14.25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3.5">
      <c r="A63" s="87">
        <v>14.63</v>
      </c>
      <c r="B63" s="33">
        <v>-3.59999999999997</v>
      </c>
      <c r="C63" s="33">
        <v>-3.49999999999997</v>
      </c>
      <c r="D63" s="87">
        <v>14.63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3.5">
      <c r="A64" s="87">
        <v>15.03</v>
      </c>
      <c r="B64" s="33">
        <v>-3.49999999999997</v>
      </c>
      <c r="C64" s="33">
        <v>-3.39999999999997</v>
      </c>
      <c r="D64" s="87">
        <v>15.03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3.5">
      <c r="A65" s="87">
        <v>15.47</v>
      </c>
      <c r="B65" s="33">
        <v>-3.39999999999997</v>
      </c>
      <c r="C65" s="33">
        <v>-3.29999999999997</v>
      </c>
      <c r="D65" s="87">
        <v>15.47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3.5">
      <c r="A66" s="87">
        <v>15.92</v>
      </c>
      <c r="B66" s="33">
        <v>-3.29999999999997</v>
      </c>
      <c r="C66" s="33">
        <v>-3.19999999999997</v>
      </c>
      <c r="D66" s="87">
        <v>15.92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3.5">
      <c r="A67" s="87">
        <v>16.4</v>
      </c>
      <c r="B67" s="33">
        <v>-3.19999999999997</v>
      </c>
      <c r="C67" s="33">
        <v>-3.09999999999997</v>
      </c>
      <c r="D67" s="87">
        <v>16.4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3.5">
      <c r="A68" s="87">
        <v>16.9</v>
      </c>
      <c r="B68" s="33">
        <v>-3.09999999999997</v>
      </c>
      <c r="C68" s="33">
        <v>-2.99999999999997</v>
      </c>
      <c r="D68" s="87">
        <v>16.9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3.5">
      <c r="A69" s="87">
        <v>17.43</v>
      </c>
      <c r="B69" s="33">
        <v>-2.99999999999997</v>
      </c>
      <c r="C69" s="33">
        <v>-2.89999999999997</v>
      </c>
      <c r="D69" s="87">
        <v>17.43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3.5">
      <c r="A70" s="87">
        <v>18</v>
      </c>
      <c r="B70" s="33">
        <v>-2.89999999999997</v>
      </c>
      <c r="C70" s="33">
        <v>-2.79999999999997</v>
      </c>
      <c r="D70" s="87">
        <v>18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3.5">
      <c r="A71" s="87">
        <v>18.6</v>
      </c>
      <c r="B71" s="33">
        <v>-2.79999999999997</v>
      </c>
      <c r="C71" s="33">
        <v>-2.69999999999997</v>
      </c>
      <c r="D71" s="87">
        <v>18.6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3.5">
      <c r="A72" s="87">
        <v>19.25</v>
      </c>
      <c r="B72" s="33">
        <v>-2.69999999999997</v>
      </c>
      <c r="C72" s="33">
        <v>-2.59999999999997</v>
      </c>
      <c r="D72" s="87">
        <v>19.25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3.5">
      <c r="A73" s="87">
        <v>19.92</v>
      </c>
      <c r="B73" s="33">
        <v>-2.59999999999997</v>
      </c>
      <c r="C73" s="33">
        <v>-2.49999999999997</v>
      </c>
      <c r="D73" s="87">
        <v>19.92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3.5">
      <c r="A74" s="87">
        <v>20.65</v>
      </c>
      <c r="B74" s="33">
        <v>-2.49999999999997</v>
      </c>
      <c r="C74" s="33">
        <v>-2.39999999999997</v>
      </c>
      <c r="D74" s="87">
        <v>20.65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3.5">
      <c r="A75" s="87">
        <v>21.43</v>
      </c>
      <c r="B75" s="33">
        <v>-2.39999999999997</v>
      </c>
      <c r="C75" s="33">
        <v>-2.29999999999997</v>
      </c>
      <c r="D75" s="87">
        <v>21.43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3.5">
      <c r="A76" s="87">
        <v>22.27</v>
      </c>
      <c r="B76" s="33">
        <v>-2.29999999999997</v>
      </c>
      <c r="C76" s="33">
        <v>-2.19999999999997</v>
      </c>
      <c r="D76" s="87">
        <v>22.27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3.5">
      <c r="A77" s="87">
        <v>23.17</v>
      </c>
      <c r="B77" s="33">
        <v>-2.19999999999997</v>
      </c>
      <c r="C77" s="33">
        <v>-2.09999999999997</v>
      </c>
      <c r="D77" s="87">
        <v>23.17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3.5">
      <c r="A78" s="87">
        <v>24.13</v>
      </c>
      <c r="B78" s="33">
        <v>-2.09999999999997</v>
      </c>
      <c r="C78" s="33">
        <v>-1.99999999999996</v>
      </c>
      <c r="D78" s="87">
        <v>24.13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3.5">
      <c r="A79" s="87">
        <v>25.17</v>
      </c>
      <c r="B79" s="33">
        <v>-1.99999999999996</v>
      </c>
      <c r="C79" s="33">
        <v>-1.89999999999996</v>
      </c>
      <c r="D79" s="87">
        <v>25.17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3.5">
      <c r="A80" s="87">
        <v>26.32</v>
      </c>
      <c r="B80" s="33">
        <v>-1.89999999999996</v>
      </c>
      <c r="C80" s="33">
        <v>-1.79999999999996</v>
      </c>
      <c r="D80" s="87">
        <v>26.32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3.5">
      <c r="A81" s="87">
        <v>27.55</v>
      </c>
      <c r="B81" s="33">
        <v>-1.79999999999996</v>
      </c>
      <c r="C81" s="33">
        <v>-1.69999999999996</v>
      </c>
      <c r="D81" s="87">
        <v>27.55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3.5">
      <c r="A82" s="87">
        <v>28.9</v>
      </c>
      <c r="B82" s="33">
        <v>-1.69999999999996</v>
      </c>
      <c r="C82" s="33">
        <v>-1.59999999999996</v>
      </c>
      <c r="D82" s="87">
        <v>28.9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3.5">
      <c r="A83" s="87">
        <v>30.33</v>
      </c>
      <c r="B83" s="33">
        <v>-1.59999999999996</v>
      </c>
      <c r="C83" s="33">
        <v>-1.49999999999996</v>
      </c>
      <c r="D83" s="87">
        <v>30.33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3.5">
      <c r="A84" s="87">
        <v>31.95</v>
      </c>
      <c r="B84" s="33">
        <v>-1.49999999999996</v>
      </c>
      <c r="C84" s="33">
        <v>-1.39999999999996</v>
      </c>
      <c r="D84" s="87">
        <v>31.95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3.5">
      <c r="A85" s="87">
        <v>33.77</v>
      </c>
      <c r="B85" s="33">
        <v>-1.39999999999996</v>
      </c>
      <c r="C85" s="33">
        <v>-1.29999999999996</v>
      </c>
      <c r="D85" s="87">
        <v>33.77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3.5">
      <c r="A86" s="87">
        <v>35.72</v>
      </c>
      <c r="B86" s="33">
        <v>-1.29999999999996</v>
      </c>
      <c r="C86" s="33">
        <v>-1.19999999999996</v>
      </c>
      <c r="D86" s="87">
        <v>35.72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3.5">
      <c r="A87" s="87">
        <v>37.67</v>
      </c>
      <c r="B87" s="33">
        <v>-1.19999999999996</v>
      </c>
      <c r="C87" s="33">
        <v>-1.09999999999996</v>
      </c>
      <c r="D87" s="87">
        <v>37.67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3.5">
      <c r="A88" s="87">
        <v>40.07</v>
      </c>
      <c r="B88" s="33">
        <v>-1.09999999999996</v>
      </c>
      <c r="C88" s="33">
        <v>-0.99999999999996</v>
      </c>
      <c r="D88" s="87">
        <v>40.07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3.5">
      <c r="A89" s="87">
        <v>42.67</v>
      </c>
      <c r="B89" s="33">
        <v>-0.99999999999996</v>
      </c>
      <c r="C89" s="33">
        <v>-0.89999999999996</v>
      </c>
      <c r="D89" s="87">
        <v>42.67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3.5">
      <c r="A90" s="87">
        <v>45.43</v>
      </c>
      <c r="B90" s="33">
        <v>-0.89999999999996</v>
      </c>
      <c r="C90" s="33">
        <v>-0.799999999999961</v>
      </c>
      <c r="D90" s="87">
        <v>45.43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3.5">
      <c r="A91" s="87">
        <v>48.7</v>
      </c>
      <c r="B91" s="33">
        <v>-0.799999999999961</v>
      </c>
      <c r="C91" s="33">
        <v>-0.69999999999996</v>
      </c>
      <c r="D91" s="87">
        <v>48.7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3.5">
      <c r="A92" s="87">
        <v>52.23</v>
      </c>
      <c r="B92" s="33">
        <v>-0.69999999999996</v>
      </c>
      <c r="C92" s="33">
        <v>-0.599999999999961</v>
      </c>
      <c r="D92" s="87">
        <v>52.23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3.5">
      <c r="A93" s="87">
        <v>56.13</v>
      </c>
      <c r="B93" s="33">
        <v>-0.599999999999961</v>
      </c>
      <c r="C93" s="33">
        <v>-0.49999999999996</v>
      </c>
      <c r="D93" s="87">
        <v>56.13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3.5">
      <c r="A94" s="87">
        <v>60.38</v>
      </c>
      <c r="B94" s="33">
        <v>-0.49999999999996</v>
      </c>
      <c r="C94" s="33">
        <v>-0.39999999999996</v>
      </c>
      <c r="D94" s="87">
        <v>60.38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3.5">
      <c r="A95" s="87">
        <v>65.07</v>
      </c>
      <c r="B95" s="33">
        <v>-0.39999999999996</v>
      </c>
      <c r="C95" s="33">
        <v>-0.299999999999961</v>
      </c>
      <c r="D95" s="87">
        <v>65.07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3.5">
      <c r="A96" s="87">
        <v>70.12</v>
      </c>
      <c r="B96" s="33">
        <v>-0.299999999999961</v>
      </c>
      <c r="C96" s="33">
        <v>-0.19999999999996</v>
      </c>
      <c r="D96" s="87">
        <v>70.12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3.5">
      <c r="A97" s="87">
        <v>75.5</v>
      </c>
      <c r="B97" s="33">
        <v>-0.19999999999996</v>
      </c>
      <c r="C97" s="33">
        <v>-0.0999999999999508</v>
      </c>
      <c r="D97" s="87">
        <v>75.5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3.5">
      <c r="A98" s="87">
        <v>81.18</v>
      </c>
      <c r="B98" s="33">
        <v>-0.0999999999999508</v>
      </c>
      <c r="C98" s="33">
        <v>4.9737991503207E-14</v>
      </c>
      <c r="D98" s="87">
        <v>81.18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3.5">
      <c r="A99" s="87">
        <v>87.07</v>
      </c>
      <c r="B99" s="33">
        <v>4.9737991503207E-14</v>
      </c>
      <c r="C99" s="33">
        <v>0</v>
      </c>
      <c r="D99" s="87">
        <v>87.07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3.5">
      <c r="A100" s="87">
        <v>90</v>
      </c>
      <c r="B100" s="33">
        <v>0</v>
      </c>
      <c r="C100" s="33">
        <v>0</v>
      </c>
      <c r="D100" s="87">
        <v>90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3.5">
      <c r="A101" s="87"/>
      <c r="B101" s="33"/>
      <c r="C101" s="33"/>
      <c r="D101" s="8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</sheetData>
  <sheetProtection password="CC36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Novoship (UK)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Stankov</dc:creator>
  <cp:keywords/>
  <dc:description/>
  <cp:lastModifiedBy>Server</cp:lastModifiedBy>
  <cp:lastPrinted>2000-11-29T17:52:13Z</cp:lastPrinted>
  <dcterms:created xsi:type="dcterms:W3CDTF">2000-09-08T17:44:21Z</dcterms:created>
  <dcterms:modified xsi:type="dcterms:W3CDTF">2003-12-01T03:34:09Z</dcterms:modified>
  <cp:category/>
  <cp:version/>
  <cp:contentType/>
  <cp:contentStatus/>
</cp:coreProperties>
</file>