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2975" windowHeight="9315" activeTab="0"/>
  </bookViews>
  <sheets>
    <sheet name="data" sheetId="1" r:id="rId1"/>
    <sheet name="Calc" sheetId="2" r:id="rId2"/>
    <sheet name="tabl" sheetId="3" r:id="rId3"/>
    <sheet name="Report" sheetId="4" r:id="rId4"/>
    <sheet name="stab" sheetId="5" r:id="rId5"/>
  </sheets>
  <externalReferences>
    <externalReference r:id="rId8"/>
    <externalReference r:id="rId9"/>
  </externalReferences>
  <definedNames>
    <definedName name="ATr_e">'Report'!$K$18</definedName>
    <definedName name="ATr_h">'Report'!$I$18</definedName>
    <definedName name="DM_e">'Report'!$K$26</definedName>
    <definedName name="DM_h">'Report'!$I$26</definedName>
    <definedName name="LCF_e">'[1]DRAFT'!$H$8</definedName>
    <definedName name="LCF_h">'[1]DRAFT'!$G$8</definedName>
    <definedName name="TPC_e">'[1]DRAFT'!$H$7</definedName>
    <definedName name="TPC_h">'[1]DRAFT'!$G$7</definedName>
    <definedName name="TPC1e">'[1]DRAFT'!$H$9</definedName>
    <definedName name="TPC1h">'[1]DRAFT'!$G$9</definedName>
    <definedName name="TPC2e">'[1]DRAFT'!$H$10</definedName>
    <definedName name="TPC2h">'[1]DRAFT'!$G$10</definedName>
  </definedNames>
  <calcPr fullCalcOnLoad="1"/>
</workbook>
</file>

<file path=xl/comments1.xml><?xml version="1.0" encoding="utf-8"?>
<comments xmlns="http://schemas.openxmlformats.org/spreadsheetml/2006/main">
  <authors>
    <author>СВИРЬ</author>
  </authors>
  <commentList>
    <comment ref="A4" authorId="0">
      <text>
        <r>
          <rPr>
            <b/>
            <sz val="8"/>
            <rFont val="Tahoma"/>
            <family val="0"/>
          </rPr>
          <t>СВИРЬ:</t>
        </r>
        <r>
          <rPr>
            <sz val="8"/>
            <rFont val="Tahoma"/>
            <family val="0"/>
          </rPr>
          <t xml:space="preserve">
Длина судна</t>
        </r>
      </text>
    </comment>
    <comment ref="A5" authorId="0">
      <text>
        <r>
          <rPr>
            <b/>
            <sz val="8"/>
            <rFont val="Tahoma"/>
            <family val="0"/>
          </rPr>
          <t>СВИРЬ:</t>
        </r>
        <r>
          <rPr>
            <sz val="8"/>
            <rFont val="Tahoma"/>
            <family val="0"/>
          </rPr>
          <t xml:space="preserve">
Длина между перпендикулярами</t>
        </r>
      </text>
    </comment>
    <comment ref="E4" authorId="0">
      <text>
        <r>
          <rPr>
            <b/>
            <sz val="8"/>
            <rFont val="Tahoma"/>
            <family val="0"/>
          </rPr>
          <t>СВИРЬ:</t>
        </r>
        <r>
          <rPr>
            <sz val="8"/>
            <rFont val="Tahoma"/>
            <family val="0"/>
          </rPr>
          <t xml:space="preserve">
Ширина судна</t>
        </r>
      </text>
    </comment>
    <comment ref="E5" authorId="0">
      <text>
        <r>
          <rPr>
            <b/>
            <sz val="8"/>
            <rFont val="Tahoma"/>
            <family val="0"/>
          </rPr>
          <t>СВИРЬ:</t>
        </r>
        <r>
          <rPr>
            <sz val="8"/>
            <rFont val="Tahoma"/>
            <family val="0"/>
          </rPr>
          <t xml:space="preserve">
Плотность воды при измерениях осадок</t>
        </r>
      </text>
    </comment>
    <comment ref="G4" authorId="0">
      <text>
        <r>
          <rPr>
            <b/>
            <sz val="8"/>
            <rFont val="Tahoma"/>
            <family val="0"/>
          </rPr>
          <t>СВИРЬ:</t>
        </r>
        <r>
          <rPr>
            <sz val="8"/>
            <rFont val="Tahoma"/>
            <family val="0"/>
          </rPr>
          <t xml:space="preserve">
Отстояние кормовой осадки от перпендикуляра</t>
        </r>
      </text>
    </comment>
    <comment ref="G5" authorId="0">
      <text>
        <r>
          <rPr>
            <b/>
            <sz val="8"/>
            <rFont val="Tahoma"/>
            <family val="0"/>
          </rPr>
          <t>СВИРЬ:</t>
        </r>
        <r>
          <rPr>
            <sz val="8"/>
            <rFont val="Tahoma"/>
            <family val="0"/>
          </rPr>
          <t xml:space="preserve">
отстояние осадки от миделя</t>
        </r>
      </text>
    </comment>
    <comment ref="C4" authorId="0">
      <text>
        <r>
          <rPr>
            <b/>
            <sz val="8"/>
            <rFont val="Tahoma"/>
            <family val="0"/>
          </rPr>
          <t>СВИРЬ:</t>
        </r>
        <r>
          <rPr>
            <sz val="8"/>
            <rFont val="Tahoma"/>
            <family val="0"/>
          </rPr>
          <t xml:space="preserve">
Вес пустого судна</t>
        </r>
      </text>
    </comment>
  </commentList>
</comments>
</file>

<file path=xl/comments2.xml><?xml version="1.0" encoding="utf-8"?>
<comments xmlns="http://schemas.openxmlformats.org/spreadsheetml/2006/main">
  <authors>
    <author>СВИРЬ</author>
  </authors>
  <commentList>
    <comment ref="F2" authorId="0">
      <text>
        <r>
          <rPr>
            <b/>
            <sz val="8"/>
            <rFont val="Tahoma"/>
            <family val="0"/>
          </rPr>
          <t>СВИРЬ:</t>
        </r>
        <r>
          <rPr>
            <sz val="8"/>
            <rFont val="Tahoma"/>
            <family val="0"/>
          </rPr>
          <t xml:space="preserve">
Дифферент
</t>
        </r>
      </text>
    </comment>
    <comment ref="F3" authorId="0">
      <text>
        <r>
          <rPr>
            <b/>
            <sz val="8"/>
            <rFont val="Tahoma"/>
            <family val="0"/>
          </rPr>
          <t>СВИРЬ:</t>
        </r>
        <r>
          <rPr>
            <sz val="8"/>
            <rFont val="Tahoma"/>
            <family val="0"/>
          </rPr>
          <t xml:space="preserve">
Дифферент, исправленный поправкой</t>
        </r>
      </text>
    </comment>
    <comment ref="F4" authorId="0">
      <text>
        <r>
          <rPr>
            <b/>
            <sz val="8"/>
            <rFont val="Tahoma"/>
            <family val="0"/>
          </rPr>
          <t>СВИРЬ:</t>
        </r>
        <r>
          <rPr>
            <sz val="8"/>
            <rFont val="Tahoma"/>
            <family val="0"/>
          </rPr>
          <t xml:space="preserve">
отстояние кормовой осадки от кормового перпендикуляра</t>
        </r>
      </text>
    </comment>
    <comment ref="F5" authorId="0">
      <text>
        <r>
          <rPr>
            <b/>
            <sz val="8"/>
            <rFont val="Tahoma"/>
            <family val="0"/>
          </rPr>
          <t>СВИРЬ:</t>
        </r>
        <r>
          <rPr>
            <sz val="8"/>
            <rFont val="Tahoma"/>
            <family val="0"/>
          </rPr>
          <t xml:space="preserve">
отстояние шкалы средних осадок от миделя</t>
        </r>
      </text>
    </comment>
    <comment ref="F6" authorId="0">
      <text>
        <r>
          <rPr>
            <b/>
            <sz val="8"/>
            <rFont val="Tahoma"/>
            <family val="0"/>
          </rPr>
          <t>СВИРЬ:</t>
        </r>
        <r>
          <rPr>
            <sz val="8"/>
            <rFont val="Tahoma"/>
            <family val="0"/>
          </rPr>
          <t xml:space="preserve">
отстояние форштевня от носового перпендикуляра
!изменяется от осадки!</t>
        </r>
      </text>
    </comment>
    <comment ref="B6" authorId="0">
      <text>
        <r>
          <rPr>
            <b/>
            <sz val="8"/>
            <rFont val="Tahoma"/>
            <family val="0"/>
          </rPr>
          <t>СВИРЬ:</t>
        </r>
        <r>
          <rPr>
            <sz val="8"/>
            <rFont val="Tahoma"/>
            <family val="0"/>
          </rPr>
          <t xml:space="preserve">
расчет средней осадки простейшим способом:
используются только носовая и кормовая.</t>
        </r>
      </text>
    </comment>
    <comment ref="C6" authorId="0">
      <text>
        <r>
          <rPr>
            <b/>
            <sz val="8"/>
            <rFont val="Tahoma"/>
            <family val="0"/>
          </rPr>
          <t>СВИРЬ:</t>
        </r>
        <r>
          <rPr>
            <sz val="8"/>
            <rFont val="Tahoma"/>
            <family val="0"/>
          </rPr>
          <t xml:space="preserve">
расчет средней осадки по 8 осадкам: 1носовая, 1 кормовая и 6 по миделю.</t>
        </r>
      </text>
    </comment>
    <comment ref="D6" authorId="0">
      <text>
        <r>
          <rPr>
            <b/>
            <sz val="8"/>
            <rFont val="Tahoma"/>
            <family val="0"/>
          </rPr>
          <t>СВИРЬ:</t>
        </r>
        <r>
          <rPr>
            <sz val="8"/>
            <rFont val="Tahoma"/>
            <family val="0"/>
          </rPr>
          <t xml:space="preserve">
расчет средней осадки композитным способом</t>
        </r>
      </text>
    </comment>
    <comment ref="E6" authorId="0">
      <text>
        <r>
          <rPr>
            <b/>
            <sz val="8"/>
            <rFont val="Tahoma"/>
            <family val="0"/>
          </rPr>
          <t>СВИРЬ:</t>
        </r>
        <r>
          <rPr>
            <sz val="8"/>
            <rFont val="Tahoma"/>
            <family val="0"/>
          </rPr>
          <t xml:space="preserve">
расчет средней осадки "Половинным" способом: носовая половина, кормовая половина, средняя из средних</t>
        </r>
      </text>
    </comment>
    <comment ref="F7" authorId="0">
      <text>
        <r>
          <rPr>
            <b/>
            <sz val="8"/>
            <rFont val="Tahoma"/>
            <family val="0"/>
          </rPr>
          <t>СВИРЬ:</t>
        </r>
        <r>
          <rPr>
            <sz val="8"/>
            <rFont val="Tahoma"/>
            <family val="0"/>
          </rPr>
          <t xml:space="preserve">
1 поправка к водоизмещению на дифферент</t>
        </r>
      </text>
    </comment>
    <comment ref="F8" authorId="0">
      <text>
        <r>
          <rPr>
            <b/>
            <sz val="8"/>
            <rFont val="Tahoma"/>
            <family val="0"/>
          </rPr>
          <t>СВИРЬ:</t>
        </r>
        <r>
          <rPr>
            <sz val="8"/>
            <rFont val="Tahoma"/>
            <family val="0"/>
          </rPr>
          <t xml:space="preserve">
2-я поправка к водоизмещению на дифферент</t>
        </r>
      </text>
    </comment>
    <comment ref="H5" authorId="0">
      <text>
        <r>
          <rPr>
            <b/>
            <sz val="8"/>
            <rFont val="Tahoma"/>
            <family val="0"/>
          </rPr>
          <t>СВИРЬ:</t>
        </r>
        <r>
          <rPr>
            <sz val="8"/>
            <rFont val="Tahoma"/>
            <family val="0"/>
          </rPr>
          <t xml:space="preserve">
при отсутствии табличных данных выдает фиксированные значения</t>
        </r>
      </text>
    </comment>
    <comment ref="H3" authorId="0">
      <text>
        <r>
          <rPr>
            <b/>
            <sz val="8"/>
            <rFont val="Tahoma"/>
            <family val="0"/>
          </rPr>
          <t>СВИРЬ:</t>
        </r>
        <r>
          <rPr>
            <sz val="8"/>
            <rFont val="Tahoma"/>
            <family val="0"/>
          </rPr>
          <t xml:space="preserve">
количество тонн на сантиметр осадки</t>
        </r>
      </text>
    </comment>
    <comment ref="F12" authorId="0">
      <text>
        <r>
          <rPr>
            <b/>
            <sz val="8"/>
            <rFont val="Tahoma"/>
            <family val="0"/>
          </rPr>
          <t>СВИРЬ:</t>
        </r>
        <r>
          <rPr>
            <sz val="8"/>
            <rFont val="Tahoma"/>
            <family val="0"/>
          </rPr>
          <t xml:space="preserve">
Дифферент
</t>
        </r>
      </text>
    </comment>
    <comment ref="F13" authorId="0">
      <text>
        <r>
          <rPr>
            <b/>
            <sz val="8"/>
            <rFont val="Tahoma"/>
            <family val="0"/>
          </rPr>
          <t>СВИРЬ:</t>
        </r>
        <r>
          <rPr>
            <sz val="8"/>
            <rFont val="Tahoma"/>
            <family val="0"/>
          </rPr>
          <t xml:space="preserve">
Дифферент, исправленный поправкой</t>
        </r>
      </text>
    </comment>
    <comment ref="H13" authorId="0">
      <text>
        <r>
          <rPr>
            <b/>
            <sz val="8"/>
            <rFont val="Tahoma"/>
            <family val="0"/>
          </rPr>
          <t>СВИРЬ:</t>
        </r>
        <r>
          <rPr>
            <sz val="8"/>
            <rFont val="Tahoma"/>
            <family val="0"/>
          </rPr>
          <t xml:space="preserve">
количество тонн на сантиметр осадки</t>
        </r>
      </text>
    </comment>
    <comment ref="F14" authorId="0">
      <text>
        <r>
          <rPr>
            <b/>
            <sz val="8"/>
            <rFont val="Tahoma"/>
            <family val="0"/>
          </rPr>
          <t>СВИРЬ:</t>
        </r>
        <r>
          <rPr>
            <sz val="8"/>
            <rFont val="Tahoma"/>
            <family val="0"/>
          </rPr>
          <t xml:space="preserve">
отстояние кормовой осадки от кормового перпендикуляра</t>
        </r>
      </text>
    </comment>
    <comment ref="F15" authorId="0">
      <text>
        <r>
          <rPr>
            <b/>
            <sz val="8"/>
            <rFont val="Tahoma"/>
            <family val="0"/>
          </rPr>
          <t>СВИРЬ:</t>
        </r>
        <r>
          <rPr>
            <sz val="8"/>
            <rFont val="Tahoma"/>
            <family val="0"/>
          </rPr>
          <t xml:space="preserve">
отстояние шкалы средних осадок от миделя</t>
        </r>
      </text>
    </comment>
    <comment ref="H15" authorId="0">
      <text>
        <r>
          <rPr>
            <b/>
            <sz val="8"/>
            <rFont val="Tahoma"/>
            <family val="0"/>
          </rPr>
          <t>СВИРЬ:</t>
        </r>
        <r>
          <rPr>
            <sz val="8"/>
            <rFont val="Tahoma"/>
            <family val="0"/>
          </rPr>
          <t xml:space="preserve">
при отсутствии табличных данных выдает фиксированные значения</t>
        </r>
      </text>
    </comment>
    <comment ref="B16" authorId="0">
      <text>
        <r>
          <rPr>
            <b/>
            <sz val="8"/>
            <rFont val="Tahoma"/>
            <family val="0"/>
          </rPr>
          <t>СВИРЬ:</t>
        </r>
        <r>
          <rPr>
            <sz val="8"/>
            <rFont val="Tahoma"/>
            <family val="0"/>
          </rPr>
          <t xml:space="preserve">
расчет средней осадки простейшим способом:
используются только носовая и кормовая.</t>
        </r>
      </text>
    </comment>
    <comment ref="C16" authorId="0">
      <text>
        <r>
          <rPr>
            <b/>
            <sz val="8"/>
            <rFont val="Tahoma"/>
            <family val="0"/>
          </rPr>
          <t>СВИРЬ:</t>
        </r>
        <r>
          <rPr>
            <sz val="8"/>
            <rFont val="Tahoma"/>
            <family val="0"/>
          </rPr>
          <t xml:space="preserve">
расчет средней осадки по 8 осадкам: 1носовая, 1 кормовая и 6 по миделю.</t>
        </r>
      </text>
    </comment>
    <comment ref="D16" authorId="0">
      <text>
        <r>
          <rPr>
            <b/>
            <sz val="8"/>
            <rFont val="Tahoma"/>
            <family val="0"/>
          </rPr>
          <t>СВИРЬ:</t>
        </r>
        <r>
          <rPr>
            <sz val="8"/>
            <rFont val="Tahoma"/>
            <family val="0"/>
          </rPr>
          <t xml:space="preserve">
расчет средней осадки композитным способом</t>
        </r>
      </text>
    </comment>
    <comment ref="E16" authorId="0">
      <text>
        <r>
          <rPr>
            <b/>
            <sz val="8"/>
            <rFont val="Tahoma"/>
            <family val="0"/>
          </rPr>
          <t>СВИРЬ:</t>
        </r>
        <r>
          <rPr>
            <sz val="8"/>
            <rFont val="Tahoma"/>
            <family val="0"/>
          </rPr>
          <t xml:space="preserve">
расчет средней осадки "Половинным" способом: носовая половина, кормовая половина, средняя из средних</t>
        </r>
      </text>
    </comment>
    <comment ref="F16" authorId="0">
      <text>
        <r>
          <rPr>
            <b/>
            <sz val="8"/>
            <rFont val="Tahoma"/>
            <family val="0"/>
          </rPr>
          <t>СВИРЬ:</t>
        </r>
        <r>
          <rPr>
            <sz val="8"/>
            <rFont val="Tahoma"/>
            <family val="0"/>
          </rPr>
          <t xml:space="preserve">
отстояние форштевня от носового перпендикуляра
!изменяется от осадки!</t>
        </r>
      </text>
    </comment>
    <comment ref="F17" authorId="0">
      <text>
        <r>
          <rPr>
            <b/>
            <sz val="8"/>
            <rFont val="Tahoma"/>
            <family val="0"/>
          </rPr>
          <t>СВИРЬ:</t>
        </r>
        <r>
          <rPr>
            <sz val="8"/>
            <rFont val="Tahoma"/>
            <family val="0"/>
          </rPr>
          <t xml:space="preserve">
1 поправка к водоизмещению на дифферент</t>
        </r>
      </text>
    </comment>
    <comment ref="F18" authorId="0">
      <text>
        <r>
          <rPr>
            <b/>
            <sz val="8"/>
            <rFont val="Tahoma"/>
            <family val="0"/>
          </rPr>
          <t>СВИРЬ:</t>
        </r>
        <r>
          <rPr>
            <sz val="8"/>
            <rFont val="Tahoma"/>
            <family val="0"/>
          </rPr>
          <t xml:space="preserve">
2-я поправка к водоизмещению на дифферент</t>
        </r>
      </text>
    </comment>
  </commentList>
</comments>
</file>

<file path=xl/sharedStrings.xml><?xml version="1.0" encoding="utf-8"?>
<sst xmlns="http://schemas.openxmlformats.org/spreadsheetml/2006/main" count="329" uniqueCount="247">
  <si>
    <t>РАСЧЕТ КОЛИЧЕСТВА ГРУЗА ДЛЯ Т/Х "СВИРЬ"</t>
  </si>
  <si>
    <t>LOA</t>
  </si>
  <si>
    <t>LBP</t>
  </si>
  <si>
    <t>Breadth</t>
  </si>
  <si>
    <t>2,Изменяемые данные</t>
  </si>
  <si>
    <t>1,Неизменные данные(данные судна)</t>
  </si>
  <si>
    <t>Осадки</t>
  </si>
  <si>
    <t>Fore</t>
  </si>
  <si>
    <t>Скуловые</t>
  </si>
  <si>
    <t>Мидель</t>
  </si>
  <si>
    <t>П/надстр.</t>
  </si>
  <si>
    <t>Кормовые</t>
  </si>
  <si>
    <t>л/б</t>
  </si>
  <si>
    <t>п/б</t>
  </si>
  <si>
    <t>Топливо</t>
  </si>
  <si>
    <t>f</t>
  </si>
  <si>
    <t>Tmcor</t>
  </si>
  <si>
    <t>LCF</t>
  </si>
  <si>
    <t>Масло</t>
  </si>
  <si>
    <t>a</t>
  </si>
  <si>
    <t>TRIMcor</t>
  </si>
  <si>
    <t>MTC2</t>
  </si>
  <si>
    <t>Вода</t>
  </si>
  <si>
    <t>m</t>
  </si>
  <si>
    <t>Tcp</t>
  </si>
  <si>
    <t>MTC1</t>
  </si>
  <si>
    <t>Подсланевые</t>
  </si>
  <si>
    <t>TRIM</t>
  </si>
  <si>
    <t>Do</t>
  </si>
  <si>
    <t>Density</t>
  </si>
  <si>
    <t>Фекальные</t>
  </si>
  <si>
    <t>Tncor</t>
  </si>
  <si>
    <t>LBM</t>
  </si>
  <si>
    <t>Const</t>
  </si>
  <si>
    <t>Балласт</t>
  </si>
  <si>
    <t>Tkcor</t>
  </si>
  <si>
    <t>TPC</t>
  </si>
  <si>
    <t>Итого запасов</t>
  </si>
  <si>
    <t>TRIM'</t>
  </si>
  <si>
    <t>Dm/Dz</t>
  </si>
  <si>
    <t>Осадки:</t>
  </si>
  <si>
    <t>Средняя</t>
  </si>
  <si>
    <t>Поправка</t>
  </si>
  <si>
    <t>Исправленная</t>
  </si>
  <si>
    <t>1 поправка</t>
  </si>
  <si>
    <t>Форштевнем</t>
  </si>
  <si>
    <t>2 поправка</t>
  </si>
  <si>
    <t>Носом</t>
  </si>
  <si>
    <t>поправка</t>
  </si>
  <si>
    <t>Миделем</t>
  </si>
  <si>
    <t>Перед надстройкой</t>
  </si>
  <si>
    <t>Корма</t>
  </si>
  <si>
    <t>Tcp=</t>
  </si>
  <si>
    <t>Tcp'=</t>
  </si>
  <si>
    <t>Водоизмещение с учетом поправки на дифферент</t>
  </si>
  <si>
    <t>Запасы</t>
  </si>
  <si>
    <t>Подслан.</t>
  </si>
  <si>
    <t>Фекальн.</t>
  </si>
  <si>
    <t>Перед</t>
  </si>
  <si>
    <t xml:space="preserve">После </t>
  </si>
  <si>
    <t xml:space="preserve">Перед </t>
  </si>
  <si>
    <t>Zm, m</t>
  </si>
  <si>
    <t>MTC, tm/cm</t>
  </si>
  <si>
    <t>осадка</t>
  </si>
  <si>
    <t>водоизмещение</t>
  </si>
  <si>
    <t>TPC t/cm</t>
  </si>
  <si>
    <t>LCF,m</t>
  </si>
  <si>
    <t>Xc,m</t>
  </si>
  <si>
    <t>Zc,m</t>
  </si>
  <si>
    <t>пресная</t>
  </si>
  <si>
    <t>Таблица грузовых характеристик т/х "Свирь"</t>
  </si>
  <si>
    <t>составил Борискин Олег oboriskin@mail.ru</t>
  </si>
  <si>
    <t>осадки</t>
  </si>
  <si>
    <t>мидель</t>
  </si>
  <si>
    <t>нос</t>
  </si>
  <si>
    <t>корма</t>
  </si>
  <si>
    <t>исправл</t>
  </si>
  <si>
    <t>средняя:</t>
  </si>
  <si>
    <t>Trim</t>
  </si>
  <si>
    <t>Trim`</t>
  </si>
  <si>
    <t>исправл.</t>
  </si>
  <si>
    <t>усредн.</t>
  </si>
  <si>
    <t>Запасы:</t>
  </si>
  <si>
    <t>1d</t>
  </si>
  <si>
    <t>2d</t>
  </si>
  <si>
    <t>ср.ос.:</t>
  </si>
  <si>
    <t>Расчеты до грузовых операций</t>
  </si>
  <si>
    <t>TPC+50</t>
  </si>
  <si>
    <t>TPC-50</t>
  </si>
  <si>
    <t>Водоизм</t>
  </si>
  <si>
    <t>Константа:</t>
  </si>
  <si>
    <t>Тносом</t>
  </si>
  <si>
    <t>Прочее</t>
  </si>
  <si>
    <t>Лист ввода данных. Все данные заполняются в метрах и тоннах</t>
  </si>
  <si>
    <t>Итого</t>
  </si>
  <si>
    <t>Замечания перед погрузкой:</t>
  </si>
  <si>
    <t>Замечания после погрузки:</t>
  </si>
  <si>
    <t>Расчеты после грузовых операций</t>
  </si>
  <si>
    <t>Груз:</t>
  </si>
  <si>
    <t>тонн</t>
  </si>
  <si>
    <t>!!!!!</t>
  </si>
  <si>
    <t>Грузовой помощник:</t>
  </si>
  <si>
    <t>Вес судна</t>
  </si>
  <si>
    <t>Расчет остойчивости судна</t>
  </si>
  <si>
    <t>r</t>
  </si>
  <si>
    <t>S</t>
  </si>
  <si>
    <t>Метод расчета Тср</t>
  </si>
  <si>
    <t>Метод Тср:</t>
  </si>
  <si>
    <t>См. лист "Calc"</t>
  </si>
  <si>
    <t>DRAFT SURVEY REPORT</t>
  </si>
  <si>
    <t>Vessel</t>
  </si>
  <si>
    <t>Class of ship</t>
  </si>
  <si>
    <t>Flag</t>
  </si>
  <si>
    <t>RUSSIA</t>
  </si>
  <si>
    <t>Vessel arrived at berth:</t>
  </si>
  <si>
    <t>at</t>
  </si>
  <si>
    <t>06.00</t>
  </si>
  <si>
    <t xml:space="preserve">For account of </t>
  </si>
  <si>
    <t>Loading commenced:</t>
  </si>
  <si>
    <t>Cargo</t>
  </si>
  <si>
    <t>Loading completed  :</t>
  </si>
  <si>
    <t>INITIAL DRAFT SURVEY</t>
  </si>
  <si>
    <t>FINAL DRAFT SURVEY</t>
  </si>
  <si>
    <t>Started on</t>
  </si>
  <si>
    <t>Completed on</t>
  </si>
  <si>
    <t>Remarks</t>
  </si>
  <si>
    <t>ICE 15-30 SM.</t>
  </si>
  <si>
    <t>CALM</t>
  </si>
  <si>
    <t>INITIAL</t>
  </si>
  <si>
    <t>FINAL</t>
  </si>
  <si>
    <t>Fore P/Side</t>
  </si>
  <si>
    <t>L.B.P /</t>
  </si>
  <si>
    <t>Fore S/Board</t>
  </si>
  <si>
    <t>Observed trim (by aft/fore)</t>
  </si>
  <si>
    <t>Mean Fore</t>
  </si>
  <si>
    <t>Actual Trim</t>
  </si>
  <si>
    <t>Fore correction</t>
  </si>
  <si>
    <t>Distance Marks - Fore PP (A)</t>
  </si>
  <si>
    <t>Fore corrected</t>
  </si>
  <si>
    <t>Distance Marks - Aft PP (B)</t>
  </si>
  <si>
    <t>Aft P/Side</t>
  </si>
  <si>
    <t>Distance Marks - Mid PP ( C )</t>
  </si>
  <si>
    <t>Aft S/Board</t>
  </si>
  <si>
    <t>Mean Aft</t>
  </si>
  <si>
    <t>TPC1</t>
  </si>
  <si>
    <t>Aft Correction</t>
  </si>
  <si>
    <t>TPC2</t>
  </si>
  <si>
    <t>Aft  corrected</t>
  </si>
  <si>
    <t xml:space="preserve">LCF </t>
  </si>
  <si>
    <t>Mean Fore &amp; Aft</t>
  </si>
  <si>
    <t>Diff. MTC / MTI (dM/dZ)</t>
  </si>
  <si>
    <t>Midship’s P/Side</t>
  </si>
  <si>
    <t>Trim Correction 1</t>
  </si>
  <si>
    <t>Midship’s S/Board</t>
  </si>
  <si>
    <t>Trim Correction 2</t>
  </si>
  <si>
    <t>Mean Midship</t>
  </si>
  <si>
    <t>Midship Correction</t>
  </si>
  <si>
    <t>Displacement</t>
  </si>
  <si>
    <t>Midship corr’d</t>
  </si>
  <si>
    <t>Total Trim Correction</t>
  </si>
  <si>
    <t>deflektion</t>
  </si>
  <si>
    <t>Displacement corr’d</t>
  </si>
  <si>
    <t>Dbl. Mean of  mean</t>
  </si>
  <si>
    <t>List Correction</t>
  </si>
  <si>
    <t>Displ. corrected</t>
  </si>
  <si>
    <t>Fresh Water</t>
  </si>
  <si>
    <t>Bunkers</t>
  </si>
  <si>
    <t>Density correction</t>
  </si>
  <si>
    <t>Lub oil</t>
  </si>
  <si>
    <t>Others</t>
  </si>
  <si>
    <t>Deductible Weight</t>
  </si>
  <si>
    <t>Ballast</t>
  </si>
  <si>
    <t>TOTAL</t>
  </si>
  <si>
    <t>NETT DISPLACEMENT</t>
  </si>
  <si>
    <t>DEDUCTIBLE</t>
  </si>
  <si>
    <t xml:space="preserve">     INITIAL</t>
  </si>
  <si>
    <t xml:space="preserve">         FINAL</t>
  </si>
  <si>
    <t xml:space="preserve"> WEIGHTS</t>
  </si>
  <si>
    <t>DENSITY</t>
  </si>
  <si>
    <t>Compartment title</t>
  </si>
  <si>
    <t>sounding</t>
  </si>
  <si>
    <t xml:space="preserve">corresp. </t>
  </si>
  <si>
    <t xml:space="preserve">actual </t>
  </si>
  <si>
    <t>(m)</t>
  </si>
  <si>
    <t xml:space="preserve"> (m 3)</t>
  </si>
  <si>
    <t>(MT)</t>
  </si>
  <si>
    <t>FORPEAK</t>
  </si>
  <si>
    <t>AFTPEAK</t>
  </si>
  <si>
    <t>Total Cargo Weight</t>
  </si>
  <si>
    <t>M/T</t>
  </si>
  <si>
    <t>Original signed and checked</t>
  </si>
  <si>
    <t>For and on Behalf of</t>
  </si>
  <si>
    <t>By Chief Officer / Captain</t>
  </si>
  <si>
    <t>SGS Vostok Limited</t>
  </si>
  <si>
    <t>Dated:</t>
  </si>
  <si>
    <t>"SVIR"</t>
  </si>
  <si>
    <t>Таблица фактических нагрузок и моментов</t>
  </si>
  <si>
    <t>Трюм №1</t>
  </si>
  <si>
    <t>Трюм №2</t>
  </si>
  <si>
    <t>Масса груза,
Р (тс)</t>
  </si>
  <si>
    <t>Zg(м)</t>
  </si>
  <si>
    <t>Xg(м)</t>
  </si>
  <si>
    <t>Мz(тсм)</t>
  </si>
  <si>
    <t>Мх(тсм)</t>
  </si>
  <si>
    <t>Кренящий момент</t>
  </si>
  <si>
    <t>М`gy(m4)</t>
  </si>
  <si>
    <t>М`gz(m4)</t>
  </si>
  <si>
    <t>Судно порожнём</t>
  </si>
  <si>
    <t>Удельный погрузочный объём</t>
  </si>
  <si>
    <t>1456</t>
  </si>
  <si>
    <t>4,22</t>
  </si>
  <si>
    <t>-8,02</t>
  </si>
  <si>
    <t>1,1</t>
  </si>
  <si>
    <t>Пресная вода</t>
  </si>
  <si>
    <t>Фекалка</t>
  </si>
  <si>
    <t xml:space="preserve">Заполн.
Объём </t>
  </si>
  <si>
    <t>Объём
помещ.</t>
  </si>
  <si>
    <t>Форпик</t>
  </si>
  <si>
    <t>Б.Ц. №1</t>
  </si>
  <si>
    <t>Б.Ц. №2</t>
  </si>
  <si>
    <t>Б.Ц. №3</t>
  </si>
  <si>
    <t>Б.Ц. №4</t>
  </si>
  <si>
    <t>100%, т</t>
  </si>
  <si>
    <t>поправка на
св. поверх.</t>
  </si>
  <si>
    <t>удельн.
плотн.</t>
  </si>
  <si>
    <t>Экипаж</t>
  </si>
  <si>
    <t>Поперечный метацентрический радиус</t>
  </si>
  <si>
    <t>Площадь действующей ватерлинии</t>
  </si>
  <si>
    <t>Zw</t>
  </si>
  <si>
    <t>Отстояние центра величины от ватерлинии</t>
  </si>
  <si>
    <t>Zc</t>
  </si>
  <si>
    <t>Отстояние центра величины от ОЛ</t>
  </si>
  <si>
    <t>Zm</t>
  </si>
  <si>
    <t>Отстояние метацентра от ОЛ</t>
  </si>
  <si>
    <t>Zg</t>
  </si>
  <si>
    <t>Отстояние центра тяжести от ОЛ</t>
  </si>
  <si>
    <t>h</t>
  </si>
  <si>
    <r>
      <t>T</t>
    </r>
    <r>
      <rPr>
        <vertAlign val="subscript"/>
        <sz val="10"/>
        <rFont val="Arial Cyr"/>
        <family val="0"/>
      </rPr>
      <t>Θ</t>
    </r>
  </si>
  <si>
    <t>Период бортовой качки, сек</t>
  </si>
  <si>
    <t>Метацентрическая высота, м</t>
  </si>
  <si>
    <t>Плечи остойчивости</t>
  </si>
  <si>
    <t>Lф</t>
  </si>
  <si>
    <t>Lст</t>
  </si>
  <si>
    <t>Lд</t>
  </si>
  <si>
    <t>Σ</t>
  </si>
  <si>
    <t>δd</t>
  </si>
  <si>
    <t>Поправка на пресную воду, см.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</si>
</sst>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0.000"/>
    <numFmt numFmtId="167" formatCode="0.0000"/>
    <numFmt numFmtId="168" formatCode="0.00000"/>
    <numFmt numFmtId="169" formatCode="0.000000"/>
  </numFmts>
  <fonts count="48">
    <font>
      <sz val="10"/>
      <name val="Arial Cyr"/>
      <family val="0"/>
    </font>
    <font>
      <b/>
      <sz val="12"/>
      <name val="Arial Cyr"/>
      <family val="2"/>
    </font>
    <font>
      <sz val="10"/>
      <color indexed="53"/>
      <name val="Arial Cyr"/>
      <family val="2"/>
    </font>
    <font>
      <sz val="10"/>
      <color indexed="10"/>
      <name val="Arial Cyr"/>
      <family val="2"/>
    </font>
    <font>
      <sz val="10"/>
      <color indexed="12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 Cyr"/>
      <family val="2"/>
    </font>
    <font>
      <sz val="16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2"/>
      <name val="Arial Cyr"/>
      <family val="2"/>
    </font>
    <font>
      <sz val="10"/>
      <color indexed="41"/>
      <name val="Arial Cyr"/>
      <family val="2"/>
    </font>
    <font>
      <sz val="14"/>
      <color indexed="10"/>
      <name val="Arial Cyr"/>
      <family val="2"/>
    </font>
    <font>
      <sz val="16"/>
      <name val="Arial Cyr"/>
      <family val="2"/>
    </font>
    <font>
      <sz val="10"/>
      <color indexed="59"/>
      <name val="Arial Cyr"/>
      <family val="2"/>
    </font>
    <font>
      <sz val="10"/>
      <color indexed="8"/>
      <name val="Times New Roman Cyr"/>
      <family val="0"/>
    </font>
    <font>
      <sz val="11"/>
      <name val="Arial Cyr"/>
      <family val="2"/>
    </font>
    <font>
      <sz val="8"/>
      <name val="Arial Cyr"/>
      <family val="2"/>
    </font>
    <font>
      <i/>
      <sz val="8"/>
      <name val="Arial Cyr"/>
      <family val="2"/>
    </font>
    <font>
      <b/>
      <i/>
      <sz val="16"/>
      <name val="Times New Roman Cyr"/>
      <family val="0"/>
    </font>
    <font>
      <b/>
      <i/>
      <sz val="10"/>
      <color indexed="56"/>
      <name val="Arial Cyr"/>
      <family val="2"/>
    </font>
    <font>
      <b/>
      <sz val="10"/>
      <color indexed="56"/>
      <name val="Arial Cyr"/>
      <family val="2"/>
    </font>
    <font>
      <sz val="9"/>
      <name val="Arial Cyr"/>
      <family val="2"/>
    </font>
    <font>
      <i/>
      <sz val="9"/>
      <color indexed="8"/>
      <name val="Arial Cyr"/>
      <family val="0"/>
    </font>
    <font>
      <i/>
      <sz val="10"/>
      <name val="Arial Cyr"/>
      <family val="0"/>
    </font>
    <font>
      <sz val="9"/>
      <color indexed="8"/>
      <name val="Arial Cyr"/>
      <family val="2"/>
    </font>
    <font>
      <b/>
      <i/>
      <sz val="9"/>
      <color indexed="56"/>
      <name val="Arial Cyr"/>
      <family val="2"/>
    </font>
    <font>
      <i/>
      <sz val="9"/>
      <color indexed="56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9"/>
      <color indexed="17"/>
      <name val="Arial Cyr"/>
      <family val="2"/>
    </font>
    <font>
      <sz val="9"/>
      <color indexed="60"/>
      <name val="Arial Cyr"/>
      <family val="0"/>
    </font>
    <font>
      <b/>
      <sz val="9"/>
      <color indexed="8"/>
      <name val="Arial Cyr"/>
      <family val="0"/>
    </font>
    <font>
      <sz val="9"/>
      <color indexed="32"/>
      <name val="Arial Cyr"/>
      <family val="2"/>
    </font>
    <font>
      <sz val="9"/>
      <color indexed="14"/>
      <name val="Arial Cyr"/>
      <family val="0"/>
    </font>
    <font>
      <sz val="9"/>
      <color indexed="10"/>
      <name val="Arial Cyr"/>
      <family val="2"/>
    </font>
    <font>
      <b/>
      <sz val="9"/>
      <color indexed="25"/>
      <name val="Arial Cyr"/>
      <family val="0"/>
    </font>
    <font>
      <b/>
      <sz val="9"/>
      <color indexed="10"/>
      <name val="Arial Cyr"/>
      <family val="2"/>
    </font>
    <font>
      <i/>
      <sz val="9"/>
      <name val="Arial Cyr"/>
      <family val="0"/>
    </font>
    <font>
      <sz val="9"/>
      <color indexed="12"/>
      <name val="Arial Cyr"/>
      <family val="2"/>
    </font>
    <font>
      <b/>
      <sz val="8"/>
      <name val="Arial Cyr"/>
      <family val="2"/>
    </font>
    <font>
      <sz val="8"/>
      <color indexed="10"/>
      <name val="Arial Cyr"/>
      <family val="2"/>
    </font>
    <font>
      <b/>
      <sz val="12"/>
      <color indexed="12"/>
      <name val="Arial Cyr"/>
      <family val="2"/>
    </font>
    <font>
      <b/>
      <sz val="12"/>
      <color indexed="10"/>
      <name val="Arial Cyr"/>
      <family val="2"/>
    </font>
    <font>
      <b/>
      <sz val="12"/>
      <color indexed="8"/>
      <name val="Arial Cyr"/>
      <family val="2"/>
    </font>
    <font>
      <b/>
      <sz val="9"/>
      <name val="Arial Cyr"/>
      <family val="2"/>
    </font>
    <font>
      <vertAlign val="subscript"/>
      <sz val="10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 horizontal="center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2"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5" borderId="3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" fillId="9" borderId="0" xfId="0" applyFont="1" applyFill="1" applyAlignment="1">
      <alignment horizontal="center" vertical="center"/>
    </xf>
    <xf numFmtId="0" fontId="0" fillId="10" borderId="3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" fillId="9" borderId="4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12" borderId="0" xfId="0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14" borderId="0" xfId="0" applyFill="1" applyAlignment="1">
      <alignment wrapText="1"/>
    </xf>
    <xf numFmtId="0" fontId="0" fillId="5" borderId="0" xfId="0" applyFill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12" borderId="6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0" fontId="0" fillId="12" borderId="9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5" borderId="3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5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15" borderId="14" xfId="0" applyFill="1" applyBorder="1" applyAlignment="1">
      <alignment horizontal="center" vertical="center"/>
    </xf>
    <xf numFmtId="0" fontId="0" fillId="15" borderId="17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15" borderId="7" xfId="0" applyFill="1" applyBorder="1" applyAlignment="1">
      <alignment horizontal="center" vertical="center"/>
    </xf>
    <xf numFmtId="0" fontId="0" fillId="15" borderId="8" xfId="0" applyFill="1" applyBorder="1" applyAlignment="1">
      <alignment horizontal="center" vertical="center"/>
    </xf>
    <xf numFmtId="0" fontId="0" fillId="15" borderId="9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0" fillId="13" borderId="21" xfId="0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0" fillId="13" borderId="16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11" borderId="8" xfId="0" applyNumberForma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3" fillId="16" borderId="26" xfId="0" applyFont="1" applyFill="1" applyBorder="1" applyAlignment="1">
      <alignment horizontal="center" vertical="center"/>
    </xf>
    <xf numFmtId="0" fontId="14" fillId="9" borderId="14" xfId="0" applyFont="1" applyFill="1" applyBorder="1" applyAlignment="1">
      <alignment horizontal="center" vertical="center"/>
    </xf>
    <xf numFmtId="0" fontId="14" fillId="4" borderId="12" xfId="0" applyFont="1" applyFill="1" applyBorder="1" applyAlignment="1" applyProtection="1">
      <alignment horizontal="center" vertical="center"/>
      <protection locked="0"/>
    </xf>
    <xf numFmtId="0" fontId="14" fillId="4" borderId="8" xfId="0" applyFont="1" applyFill="1" applyBorder="1" applyAlignment="1" applyProtection="1">
      <alignment horizontal="center" vertical="center"/>
      <protection locked="0"/>
    </xf>
    <xf numFmtId="0" fontId="14" fillId="9" borderId="15" xfId="0" applyFont="1" applyFill="1" applyBorder="1" applyAlignment="1">
      <alignment horizontal="center" vertical="center"/>
    </xf>
    <xf numFmtId="0" fontId="14" fillId="4" borderId="13" xfId="0" applyFont="1" applyFill="1" applyBorder="1" applyAlignment="1" applyProtection="1">
      <alignment horizontal="center" vertical="center"/>
      <protection locked="0"/>
    </xf>
    <xf numFmtId="0" fontId="14" fillId="4" borderId="9" xfId="0" applyFont="1" applyFill="1" applyBorder="1" applyAlignment="1" applyProtection="1">
      <alignment horizontal="center" vertical="center"/>
      <protection locked="0"/>
    </xf>
    <xf numFmtId="0" fontId="14" fillId="4" borderId="12" xfId="0" applyFont="1" applyFill="1" applyBorder="1" applyAlignment="1" applyProtection="1">
      <alignment/>
      <protection locked="0"/>
    </xf>
    <xf numFmtId="0" fontId="14" fillId="4" borderId="6" xfId="0" applyFont="1" applyFill="1" applyBorder="1" applyAlignment="1" applyProtection="1">
      <alignment/>
      <protection locked="0"/>
    </xf>
    <xf numFmtId="0" fontId="14" fillId="4" borderId="18" xfId="0" applyFont="1" applyFill="1" applyBorder="1" applyAlignment="1" applyProtection="1">
      <alignment/>
      <protection locked="0"/>
    </xf>
    <xf numFmtId="0" fontId="14" fillId="4" borderId="27" xfId="0" applyFont="1" applyFill="1" applyBorder="1" applyAlignment="1" applyProtection="1">
      <alignment/>
      <protection locked="0"/>
    </xf>
    <xf numFmtId="0" fontId="14" fillId="4" borderId="13" xfId="0" applyFont="1" applyFill="1" applyBorder="1" applyAlignment="1" applyProtection="1">
      <alignment/>
      <protection locked="0"/>
    </xf>
    <xf numFmtId="0" fontId="14" fillId="4" borderId="16" xfId="0" applyFont="1" applyFill="1" applyBorder="1" applyAlignment="1" applyProtection="1">
      <alignment/>
      <protection locked="0"/>
    </xf>
    <xf numFmtId="0" fontId="4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14" fillId="4" borderId="8" xfId="0" applyFont="1" applyFill="1" applyBorder="1" applyAlignment="1" applyProtection="1">
      <alignment/>
      <protection locked="0"/>
    </xf>
    <xf numFmtId="0" fontId="0" fillId="3" borderId="33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17" fillId="17" borderId="0" xfId="0" applyFont="1" applyFill="1" applyAlignment="1" applyProtection="1">
      <alignment horizontal="center" vertical="center"/>
      <protection hidden="1"/>
    </xf>
    <xf numFmtId="0" fontId="0" fillId="17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18" fillId="17" borderId="0" xfId="0" applyFont="1" applyFill="1" applyAlignment="1" applyProtection="1">
      <alignment horizontal="center" vertical="center"/>
      <protection hidden="1"/>
    </xf>
    <xf numFmtId="0" fontId="19" fillId="17" borderId="0" xfId="0" applyFont="1" applyFill="1" applyBorder="1" applyAlignment="1" applyProtection="1">
      <alignment horizontal="center" vertical="center"/>
      <protection hidden="1"/>
    </xf>
    <xf numFmtId="0" fontId="18" fillId="17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20" fillId="17" borderId="0" xfId="0" applyFont="1" applyFill="1" applyAlignment="1" applyProtection="1">
      <alignment horizontal="center" vertical="center"/>
      <protection hidden="1"/>
    </xf>
    <xf numFmtId="0" fontId="14" fillId="17" borderId="0" xfId="0" applyFont="1" applyFill="1" applyBorder="1" applyAlignment="1" applyProtection="1">
      <alignment horizontal="center" vertical="center"/>
      <protection hidden="1"/>
    </xf>
    <xf numFmtId="0" fontId="14" fillId="17" borderId="0" xfId="0" applyFont="1" applyFill="1" applyAlignment="1" applyProtection="1">
      <alignment horizontal="center" vertical="center"/>
      <protection hidden="1"/>
    </xf>
    <xf numFmtId="0" fontId="0" fillId="17" borderId="0" xfId="0" applyFont="1" applyFill="1" applyAlignment="1" applyProtection="1">
      <alignment horizontal="right"/>
      <protection hidden="1"/>
    </xf>
    <xf numFmtId="49" fontId="21" fillId="17" borderId="4" xfId="0" applyNumberFormat="1" applyFont="1" applyFill="1" applyBorder="1" applyAlignment="1" applyProtection="1">
      <alignment horizontal="left"/>
      <protection hidden="1" locked="0"/>
    </xf>
    <xf numFmtId="0" fontId="22" fillId="17" borderId="4" xfId="0" applyFont="1" applyFill="1" applyBorder="1" applyAlignment="1" applyProtection="1">
      <alignment horizontal="center" vertical="center"/>
      <protection hidden="1" locked="0"/>
    </xf>
    <xf numFmtId="0" fontId="21" fillId="17" borderId="4" xfId="0" applyFont="1" applyFill="1" applyBorder="1" applyAlignment="1" applyProtection="1">
      <alignment horizontal="centerContinuous"/>
      <protection hidden="1" locked="0"/>
    </xf>
    <xf numFmtId="0" fontId="23" fillId="17" borderId="0" xfId="0" applyFont="1" applyFill="1" applyAlignment="1" applyProtection="1">
      <alignment horizontal="left"/>
      <protection hidden="1"/>
    </xf>
    <xf numFmtId="0" fontId="23" fillId="17" borderId="0" xfId="0" applyFont="1" applyFill="1" applyAlignment="1" applyProtection="1">
      <alignment horizontal="centerContinuous"/>
      <protection hidden="1"/>
    </xf>
    <xf numFmtId="2" fontId="24" fillId="17" borderId="4" xfId="0" applyNumberFormat="1" applyFont="1" applyFill="1" applyBorder="1" applyAlignment="1" applyProtection="1">
      <alignment horizontal="left"/>
      <protection hidden="1"/>
    </xf>
    <xf numFmtId="0" fontId="25" fillId="17" borderId="4" xfId="0" applyFont="1" applyFill="1" applyBorder="1" applyAlignment="1" applyProtection="1">
      <alignment horizontal="center" vertical="center"/>
      <protection hidden="1"/>
    </xf>
    <xf numFmtId="0" fontId="26" fillId="17" borderId="4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14" fontId="22" fillId="17" borderId="4" xfId="0" applyNumberFormat="1" applyFont="1" applyFill="1" applyBorder="1" applyAlignment="1" applyProtection="1">
      <alignment horizontal="center"/>
      <protection hidden="1" locked="0"/>
    </xf>
    <xf numFmtId="49" fontId="25" fillId="17" borderId="0" xfId="0" applyNumberFormat="1" applyFont="1" applyFill="1" applyBorder="1" applyAlignment="1" applyProtection="1">
      <alignment horizontal="center"/>
      <protection hidden="1"/>
    </xf>
    <xf numFmtId="49" fontId="22" fillId="17" borderId="4" xfId="0" applyNumberFormat="1" applyFont="1" applyFill="1" applyBorder="1" applyAlignment="1" applyProtection="1">
      <alignment horizontal="center"/>
      <protection hidden="1" locked="0"/>
    </xf>
    <xf numFmtId="49" fontId="7" fillId="17" borderId="0" xfId="0" applyNumberFormat="1" applyFont="1" applyFill="1" applyBorder="1" applyAlignment="1" applyProtection="1">
      <alignment horizontal="centerContinuous"/>
      <protection hidden="1"/>
    </xf>
    <xf numFmtId="0" fontId="0" fillId="17" borderId="0" xfId="0" applyFont="1" applyFill="1" applyAlignment="1" applyProtection="1">
      <alignment horizontal="center" vertical="center"/>
      <protection hidden="1" locked="0"/>
    </xf>
    <xf numFmtId="0" fontId="25" fillId="17" borderId="0" xfId="0" applyFont="1" applyFill="1" applyAlignment="1" applyProtection="1">
      <alignment horizontal="center" vertical="center"/>
      <protection hidden="1"/>
    </xf>
    <xf numFmtId="0" fontId="7" fillId="17" borderId="0" xfId="0" applyFont="1" applyFill="1" applyAlignment="1" applyProtection="1">
      <alignment horizontal="center"/>
      <protection hidden="1" locked="0"/>
    </xf>
    <xf numFmtId="49" fontId="7" fillId="17" borderId="0" xfId="0" applyNumberFormat="1" applyFont="1" applyFill="1" applyBorder="1" applyAlignment="1" applyProtection="1">
      <alignment horizontal="center"/>
      <protection hidden="1"/>
    </xf>
    <xf numFmtId="0" fontId="7" fillId="17" borderId="0" xfId="0" applyFont="1" applyFill="1" applyAlignment="1" applyProtection="1">
      <alignment horizontal="center" vertical="center"/>
      <protection hidden="1"/>
    </xf>
    <xf numFmtId="0" fontId="7" fillId="17" borderId="0" xfId="0" applyFont="1" applyFill="1" applyAlignment="1" applyProtection="1">
      <alignment horizontal="center" vertical="center"/>
      <protection hidden="1" locked="0"/>
    </xf>
    <xf numFmtId="49" fontId="25" fillId="17" borderId="0" xfId="0" applyNumberFormat="1" applyFont="1" applyFill="1" applyAlignment="1" applyProtection="1">
      <alignment horizontal="center" vertical="center"/>
      <protection hidden="1"/>
    </xf>
    <xf numFmtId="49" fontId="7" fillId="17" borderId="0" xfId="0" applyNumberFormat="1" applyFont="1" applyFill="1" applyAlignment="1" applyProtection="1">
      <alignment horizontal="center"/>
      <protection hidden="1" locked="0"/>
    </xf>
    <xf numFmtId="49" fontId="0" fillId="17" borderId="0" xfId="0" applyNumberFormat="1" applyFont="1" applyFill="1" applyAlignment="1" applyProtection="1">
      <alignment horizontal="center" vertical="center"/>
      <protection hidden="1"/>
    </xf>
    <xf numFmtId="49" fontId="21" fillId="17" borderId="4" xfId="0" applyNumberFormat="1" applyFont="1" applyFill="1" applyBorder="1" applyAlignment="1" applyProtection="1">
      <alignment horizontal="center" vertical="center"/>
      <protection hidden="1" locked="0"/>
    </xf>
    <xf numFmtId="0" fontId="0" fillId="17" borderId="0" xfId="0" applyFont="1" applyFill="1" applyBorder="1" applyAlignment="1" applyProtection="1">
      <alignment horizontal="center" vertical="center"/>
      <protection hidden="1" locked="0"/>
    </xf>
    <xf numFmtId="49" fontId="27" fillId="17" borderId="4" xfId="0" applyNumberFormat="1" applyFont="1" applyFill="1" applyBorder="1" applyAlignment="1" applyProtection="1">
      <alignment horizontal="center" vertical="center"/>
      <protection hidden="1" locked="0"/>
    </xf>
    <xf numFmtId="49" fontId="28" fillId="17" borderId="4" xfId="0" applyNumberFormat="1" applyFont="1" applyFill="1" applyBorder="1" applyAlignment="1" applyProtection="1">
      <alignment horizontal="center" vertical="center"/>
      <protection hidden="1" locked="0"/>
    </xf>
    <xf numFmtId="0" fontId="23" fillId="17" borderId="0" xfId="0" applyFont="1" applyFill="1" applyBorder="1" applyAlignment="1" applyProtection="1">
      <alignment horizontal="center" vertical="center"/>
      <protection hidden="1" locked="0"/>
    </xf>
    <xf numFmtId="0" fontId="23" fillId="0" borderId="0" xfId="0" applyFont="1" applyAlignment="1" applyProtection="1">
      <alignment horizontal="center" vertical="center"/>
      <protection hidden="1"/>
    </xf>
    <xf numFmtId="0" fontId="29" fillId="17" borderId="0" xfId="0" applyFont="1" applyFill="1" applyAlignment="1" applyProtection="1">
      <alignment horizontal="center" vertical="center"/>
      <protection hidden="1"/>
    </xf>
    <xf numFmtId="0" fontId="29" fillId="17" borderId="3" xfId="0" applyFont="1" applyFill="1" applyBorder="1" applyAlignment="1" applyProtection="1">
      <alignment horizontal="center"/>
      <protection hidden="1"/>
    </xf>
    <xf numFmtId="0" fontId="29" fillId="17" borderId="0" xfId="0" applyFont="1" applyFill="1" applyAlignment="1" applyProtection="1">
      <alignment horizontal="center"/>
      <protection hidden="1"/>
    </xf>
    <xf numFmtId="0" fontId="30" fillId="17" borderId="0" xfId="0" applyFont="1" applyFill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31" fillId="17" borderId="0" xfId="0" applyFont="1" applyFill="1" applyBorder="1" applyAlignment="1" applyProtection="1">
      <alignment horizontal="center" vertical="center"/>
      <protection hidden="1"/>
    </xf>
    <xf numFmtId="166" fontId="32" fillId="17" borderId="5" xfId="0" applyNumberFormat="1" applyFont="1" applyFill="1" applyBorder="1" applyAlignment="1" applyProtection="1">
      <alignment horizontal="center"/>
      <protection hidden="1"/>
    </xf>
    <xf numFmtId="166" fontId="32" fillId="17" borderId="4" xfId="0" applyNumberFormat="1" applyFont="1" applyFill="1" applyBorder="1" applyAlignment="1" applyProtection="1">
      <alignment horizontal="center"/>
      <protection hidden="1"/>
    </xf>
    <xf numFmtId="0" fontId="23" fillId="17" borderId="0" xfId="0" applyFont="1" applyFill="1" applyBorder="1" applyAlignment="1" applyProtection="1">
      <alignment horizontal="center" vertical="center"/>
      <protection hidden="1"/>
    </xf>
    <xf numFmtId="0" fontId="23" fillId="17" borderId="0" xfId="0" applyFont="1" applyFill="1" applyAlignment="1" applyProtection="1">
      <alignment horizontal="right"/>
      <protection hidden="1"/>
    </xf>
    <xf numFmtId="0" fontId="23" fillId="17" borderId="0" xfId="0" applyFont="1" applyFill="1" applyAlignment="1" applyProtection="1">
      <alignment horizontal="center" vertical="center"/>
      <protection hidden="1"/>
    </xf>
    <xf numFmtId="2" fontId="33" fillId="17" borderId="4" xfId="0" applyNumberFormat="1" applyFont="1" applyFill="1" applyBorder="1" applyAlignment="1" applyProtection="1">
      <alignment horizontal="left"/>
      <protection hidden="1"/>
    </xf>
    <xf numFmtId="0" fontId="33" fillId="17" borderId="0" xfId="0" applyFont="1" applyFill="1" applyAlignment="1" applyProtection="1">
      <alignment horizontal="center" vertical="center"/>
      <protection hidden="1"/>
    </xf>
    <xf numFmtId="0" fontId="26" fillId="17" borderId="0" xfId="0" applyFont="1" applyFill="1" applyBorder="1" applyAlignment="1" applyProtection="1">
      <alignment horizontal="left"/>
      <protection hidden="1"/>
    </xf>
    <xf numFmtId="166" fontId="23" fillId="17" borderId="0" xfId="0" applyNumberFormat="1" applyFont="1" applyFill="1" applyAlignment="1" applyProtection="1">
      <alignment horizontal="centerContinuous"/>
      <protection hidden="1"/>
    </xf>
    <xf numFmtId="166" fontId="34" fillId="17" borderId="4" xfId="0" applyNumberFormat="1" applyFont="1" applyFill="1" applyBorder="1" applyAlignment="1" applyProtection="1">
      <alignment horizontal="center"/>
      <protection hidden="1"/>
    </xf>
    <xf numFmtId="0" fontId="34" fillId="17" borderId="0" xfId="0" applyFont="1" applyFill="1" applyBorder="1" applyAlignment="1" applyProtection="1">
      <alignment horizontal="center" vertical="center"/>
      <protection hidden="1"/>
    </xf>
    <xf numFmtId="166" fontId="35" fillId="17" borderId="5" xfId="0" applyNumberFormat="1" applyFont="1" applyFill="1" applyBorder="1" applyAlignment="1" applyProtection="1">
      <alignment horizontal="center"/>
      <protection hidden="1"/>
    </xf>
    <xf numFmtId="166" fontId="35" fillId="17" borderId="4" xfId="0" applyNumberFormat="1" applyFont="1" applyFill="1" applyBorder="1" applyAlignment="1" applyProtection="1">
      <alignment horizontal="center"/>
      <protection hidden="1"/>
    </xf>
    <xf numFmtId="0" fontId="23" fillId="17" borderId="0" xfId="0" applyFont="1" applyFill="1" applyBorder="1" applyAlignment="1" applyProtection="1">
      <alignment horizontal="left"/>
      <protection hidden="1"/>
    </xf>
    <xf numFmtId="0" fontId="34" fillId="17" borderId="0" xfId="0" applyFont="1" applyFill="1" applyBorder="1" applyAlignment="1" applyProtection="1">
      <alignment horizontal="center"/>
      <protection hidden="1"/>
    </xf>
    <xf numFmtId="166" fontId="26" fillId="17" borderId="5" xfId="0" applyNumberFormat="1" applyFont="1" applyFill="1" applyBorder="1" applyAlignment="1" applyProtection="1">
      <alignment horizontal="center"/>
      <protection hidden="1"/>
    </xf>
    <xf numFmtId="166" fontId="26" fillId="17" borderId="4" xfId="0" applyNumberFormat="1" applyFont="1" applyFill="1" applyBorder="1" applyAlignment="1" applyProtection="1">
      <alignment horizontal="center"/>
      <protection hidden="1"/>
    </xf>
    <xf numFmtId="2" fontId="34" fillId="17" borderId="4" xfId="0" applyNumberFormat="1" applyFont="1" applyFill="1" applyBorder="1" applyAlignment="1" applyProtection="1">
      <alignment horizontal="center"/>
      <protection hidden="1"/>
    </xf>
    <xf numFmtId="166" fontId="34" fillId="17" borderId="0" xfId="0" applyNumberFormat="1" applyFont="1" applyFill="1" applyBorder="1" applyAlignment="1" applyProtection="1">
      <alignment horizontal="center"/>
      <protection hidden="1"/>
    </xf>
    <xf numFmtId="0" fontId="36" fillId="17" borderId="0" xfId="0" applyFont="1" applyFill="1" applyBorder="1" applyAlignment="1" applyProtection="1">
      <alignment horizontal="center" vertical="center"/>
      <protection hidden="1"/>
    </xf>
    <xf numFmtId="166" fontId="34" fillId="17" borderId="5" xfId="0" applyNumberFormat="1" applyFont="1" applyFill="1" applyBorder="1" applyAlignment="1" applyProtection="1">
      <alignment horizontal="center"/>
      <protection hidden="1"/>
    </xf>
    <xf numFmtId="166" fontId="34" fillId="17" borderId="4" xfId="0" applyNumberFormat="1" applyFont="1" applyFill="1" applyBorder="1" applyAlignment="1" applyProtection="1">
      <alignment horizontal="center"/>
      <protection hidden="1"/>
    </xf>
    <xf numFmtId="2" fontId="34" fillId="17" borderId="0" xfId="0" applyNumberFormat="1" applyFont="1" applyFill="1" applyBorder="1" applyAlignment="1" applyProtection="1">
      <alignment horizontal="center"/>
      <protection hidden="1"/>
    </xf>
    <xf numFmtId="0" fontId="26" fillId="17" borderId="0" xfId="0" applyFont="1" applyFill="1" applyBorder="1" applyAlignment="1" applyProtection="1">
      <alignment horizontal="center" vertical="center"/>
      <protection hidden="1"/>
    </xf>
    <xf numFmtId="166" fontId="34" fillId="17" borderId="4" xfId="0" applyNumberFormat="1" applyFont="1" applyFill="1" applyBorder="1" applyAlignment="1" applyProtection="1">
      <alignment horizontal="centerContinuous"/>
      <protection hidden="1"/>
    </xf>
    <xf numFmtId="0" fontId="34" fillId="17" borderId="0" xfId="0" applyFont="1" applyFill="1" applyAlignment="1" applyProtection="1">
      <alignment horizontal="center" vertical="center"/>
      <protection hidden="1"/>
    </xf>
    <xf numFmtId="0" fontId="0" fillId="17" borderId="0" xfId="0" applyFill="1" applyAlignment="1" applyProtection="1">
      <alignment horizontal="center" vertical="center"/>
      <protection hidden="1"/>
    </xf>
    <xf numFmtId="166" fontId="37" fillId="17" borderId="4" xfId="0" applyNumberFormat="1" applyFont="1" applyFill="1" applyBorder="1" applyAlignment="1" applyProtection="1">
      <alignment horizontal="center"/>
      <protection hidden="1"/>
    </xf>
    <xf numFmtId="166" fontId="37" fillId="17" borderId="0" xfId="0" applyNumberFormat="1" applyFont="1" applyFill="1" applyBorder="1" applyAlignment="1" applyProtection="1">
      <alignment horizontal="center"/>
      <protection hidden="1"/>
    </xf>
    <xf numFmtId="166" fontId="38" fillId="17" borderId="5" xfId="0" applyNumberFormat="1" applyFont="1" applyFill="1" applyBorder="1" applyAlignment="1" applyProtection="1">
      <alignment horizontal="center"/>
      <protection hidden="1"/>
    </xf>
    <xf numFmtId="166" fontId="38" fillId="17" borderId="4" xfId="0" applyNumberFormat="1" applyFont="1" applyFill="1" applyBorder="1" applyAlignment="1" applyProtection="1">
      <alignment horizontal="center"/>
      <protection hidden="1"/>
    </xf>
    <xf numFmtId="0" fontId="39" fillId="17" borderId="0" xfId="0" applyFont="1" applyFill="1" applyBorder="1" applyAlignment="1" applyProtection="1">
      <alignment/>
      <protection hidden="1"/>
    </xf>
    <xf numFmtId="0" fontId="23" fillId="17" borderId="0" xfId="0" applyFont="1" applyFill="1" applyAlignment="1" applyProtection="1">
      <alignment/>
      <protection hidden="1"/>
    </xf>
    <xf numFmtId="166" fontId="34" fillId="17" borderId="5" xfId="0" applyNumberFormat="1" applyFont="1" applyFill="1" applyBorder="1" applyAlignment="1" applyProtection="1">
      <alignment horizontal="left"/>
      <protection hidden="1"/>
    </xf>
    <xf numFmtId="166" fontId="34" fillId="17" borderId="4" xfId="0" applyNumberFormat="1" applyFont="1" applyFill="1" applyBorder="1" applyAlignment="1" applyProtection="1">
      <alignment horizontal="right"/>
      <protection hidden="1"/>
    </xf>
    <xf numFmtId="0" fontId="23" fillId="17" borderId="0" xfId="0" applyFont="1" applyFill="1" applyBorder="1" applyAlignment="1" applyProtection="1">
      <alignment/>
      <protection hidden="1"/>
    </xf>
    <xf numFmtId="0" fontId="23" fillId="17" borderId="0" xfId="0" applyFont="1" applyFill="1" applyBorder="1" applyAlignment="1" applyProtection="1">
      <alignment horizontal="center" vertical="center"/>
      <protection hidden="1"/>
    </xf>
    <xf numFmtId="166" fontId="38" fillId="17" borderId="5" xfId="0" applyNumberFormat="1" applyFont="1" applyFill="1" applyBorder="1" applyAlignment="1" applyProtection="1">
      <alignment horizontal="left"/>
      <protection hidden="1"/>
    </xf>
    <xf numFmtId="166" fontId="38" fillId="17" borderId="4" xfId="0" applyNumberFormat="1" applyFont="1" applyFill="1" applyBorder="1" applyAlignment="1" applyProtection="1">
      <alignment horizontal="right"/>
      <protection hidden="1"/>
    </xf>
    <xf numFmtId="0" fontId="40" fillId="17" borderId="0" xfId="0" applyFont="1" applyFill="1" applyBorder="1" applyAlignment="1" applyProtection="1">
      <alignment horizontal="center" vertical="center"/>
      <protection hidden="1"/>
    </xf>
    <xf numFmtId="166" fontId="38" fillId="17" borderId="4" xfId="0" applyNumberFormat="1" applyFont="1" applyFill="1" applyBorder="1" applyAlignment="1" applyProtection="1">
      <alignment horizontal="center"/>
      <protection hidden="1"/>
    </xf>
    <xf numFmtId="166" fontId="38" fillId="17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1" fillId="17" borderId="19" xfId="0" applyFont="1" applyFill="1" applyBorder="1" applyAlignment="1" applyProtection="1">
      <alignment horizontal="center" vertical="center"/>
      <protection hidden="1"/>
    </xf>
    <xf numFmtId="0" fontId="18" fillId="17" borderId="20" xfId="0" applyFont="1" applyFill="1" applyBorder="1" applyAlignment="1" applyProtection="1">
      <alignment horizontal="center" vertical="center"/>
      <protection hidden="1"/>
    </xf>
    <xf numFmtId="0" fontId="41" fillId="17" borderId="36" xfId="0" applyFont="1" applyFill="1" applyBorder="1" applyAlignment="1" applyProtection="1">
      <alignment horizontal="center" vertical="center"/>
      <protection hidden="1"/>
    </xf>
    <xf numFmtId="0" fontId="18" fillId="17" borderId="37" xfId="0" applyFont="1" applyFill="1" applyBorder="1" applyAlignment="1" applyProtection="1">
      <alignment horizontal="center" vertical="center"/>
      <protection hidden="1"/>
    </xf>
    <xf numFmtId="0" fontId="41" fillId="17" borderId="32" xfId="0" applyFont="1" applyFill="1" applyBorder="1" applyAlignment="1" applyProtection="1">
      <alignment horizontal="center" vertical="center"/>
      <protection hidden="1"/>
    </xf>
    <xf numFmtId="0" fontId="41" fillId="17" borderId="38" xfId="0" applyFont="1" applyFill="1" applyBorder="1" applyAlignment="1" applyProtection="1">
      <alignment horizontal="center" vertical="center"/>
      <protection hidden="1"/>
    </xf>
    <xf numFmtId="0" fontId="41" fillId="17" borderId="4" xfId="0" applyFont="1" applyFill="1" applyBorder="1" applyAlignment="1" applyProtection="1">
      <alignment horizontal="center" vertical="center"/>
      <protection hidden="1"/>
    </xf>
    <xf numFmtId="0" fontId="41" fillId="17" borderId="5" xfId="0" applyFont="1" applyFill="1" applyBorder="1" applyAlignment="1" applyProtection="1">
      <alignment horizontal="center" vertical="center"/>
      <protection hidden="1"/>
    </xf>
    <xf numFmtId="0" fontId="18" fillId="17" borderId="19" xfId="0" applyFont="1" applyFill="1" applyBorder="1" applyAlignment="1" applyProtection="1">
      <alignment horizontal="center" vertical="center"/>
      <protection hidden="1"/>
    </xf>
    <xf numFmtId="0" fontId="18" fillId="17" borderId="19" xfId="0" applyFont="1" applyFill="1" applyBorder="1" applyAlignment="1" applyProtection="1">
      <alignment horizontal="centerContinuous"/>
      <protection hidden="1"/>
    </xf>
    <xf numFmtId="0" fontId="18" fillId="17" borderId="36" xfId="0" applyFont="1" applyFill="1" applyBorder="1" applyAlignment="1" applyProtection="1">
      <alignment horizontal="centerContinuous"/>
      <protection hidden="1"/>
    </xf>
    <xf numFmtId="0" fontId="18" fillId="17" borderId="19" xfId="0" applyFont="1" applyFill="1" applyBorder="1" applyAlignment="1" applyProtection="1">
      <alignment horizontal="center"/>
      <protection hidden="1"/>
    </xf>
    <xf numFmtId="0" fontId="18" fillId="17" borderId="32" xfId="0" applyFont="1" applyFill="1" applyBorder="1" applyAlignment="1" applyProtection="1">
      <alignment horizontal="center" vertical="center"/>
      <protection hidden="1"/>
    </xf>
    <xf numFmtId="0" fontId="18" fillId="17" borderId="32" xfId="0" applyFont="1" applyFill="1" applyBorder="1" applyAlignment="1" applyProtection="1">
      <alignment horizontal="centerContinuous"/>
      <protection hidden="1"/>
    </xf>
    <xf numFmtId="0" fontId="18" fillId="17" borderId="4" xfId="0" applyFont="1" applyFill="1" applyBorder="1" applyAlignment="1" applyProtection="1">
      <alignment horizontal="centerContinuous"/>
      <protection hidden="1"/>
    </xf>
    <xf numFmtId="0" fontId="18" fillId="17" borderId="32" xfId="0" applyFont="1" applyFill="1" applyBorder="1" applyAlignment="1" applyProtection="1">
      <alignment horizontal="center"/>
      <protection hidden="1"/>
    </xf>
    <xf numFmtId="0" fontId="41" fillId="17" borderId="14" xfId="0" applyFont="1" applyFill="1" applyBorder="1" applyAlignment="1" applyProtection="1">
      <alignment horizontal="centerContinuous"/>
      <protection hidden="1"/>
    </xf>
    <xf numFmtId="166" fontId="18" fillId="17" borderId="14" xfId="0" applyNumberFormat="1" applyFont="1" applyFill="1" applyBorder="1" applyAlignment="1" applyProtection="1">
      <alignment horizontal="center"/>
      <protection hidden="1"/>
    </xf>
    <xf numFmtId="0" fontId="41" fillId="17" borderId="14" xfId="0" applyFont="1" applyFill="1" applyBorder="1" applyAlignment="1" applyProtection="1">
      <alignment horizontal="center"/>
      <protection hidden="1"/>
    </xf>
    <xf numFmtId="166" fontId="23" fillId="17" borderId="0" xfId="0" applyNumberFormat="1" applyFont="1" applyFill="1" applyBorder="1" applyAlignment="1" applyProtection="1">
      <alignment horizontal="center"/>
      <protection hidden="1"/>
    </xf>
    <xf numFmtId="166" fontId="42" fillId="17" borderId="14" xfId="0" applyNumberFormat="1" applyFont="1" applyFill="1" applyBorder="1" applyAlignment="1" applyProtection="1">
      <alignment horizontal="center"/>
      <protection hidden="1"/>
    </xf>
    <xf numFmtId="0" fontId="43" fillId="17" borderId="0" xfId="0" applyFont="1" applyFill="1" applyBorder="1" applyAlignment="1" applyProtection="1">
      <alignment vertical="center"/>
      <protection hidden="1"/>
    </xf>
    <xf numFmtId="1" fontId="44" fillId="17" borderId="4" xfId="0" applyNumberFormat="1" applyFont="1" applyFill="1" applyBorder="1" applyAlignment="1" applyProtection="1">
      <alignment horizontal="centerContinuous" vertical="center"/>
      <protection hidden="1"/>
    </xf>
    <xf numFmtId="166" fontId="45" fillId="17" borderId="4" xfId="0" applyNumberFormat="1" applyFont="1" applyFill="1" applyBorder="1" applyAlignment="1" applyProtection="1">
      <alignment horizontal="centerContinuous" vertical="center"/>
      <protection hidden="1"/>
    </xf>
    <xf numFmtId="0" fontId="0" fillId="17" borderId="4" xfId="0" applyFill="1" applyBorder="1" applyAlignment="1" applyProtection="1">
      <alignment horizontal="center" vertical="center"/>
      <protection hidden="1"/>
    </xf>
    <xf numFmtId="0" fontId="46" fillId="17" borderId="0" xfId="0" applyFont="1" applyFill="1" applyBorder="1" applyAlignment="1" applyProtection="1">
      <alignment horizontal="center" vertical="center"/>
      <protection hidden="1"/>
    </xf>
    <xf numFmtId="0" fontId="46" fillId="17" borderId="0" xfId="0" applyFont="1" applyFill="1" applyAlignment="1" applyProtection="1">
      <alignment horizontal="center" vertical="center"/>
      <protection hidden="1"/>
    </xf>
    <xf numFmtId="14" fontId="23" fillId="17" borderId="0" xfId="0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49" fontId="0" fillId="15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 applyProtection="1">
      <alignment horizontal="center" vertical="center"/>
      <protection locked="0"/>
    </xf>
    <xf numFmtId="49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5" fontId="9" fillId="18" borderId="14" xfId="0" applyNumberFormat="1" applyFont="1" applyFill="1" applyBorder="1" applyAlignment="1" applyProtection="1">
      <alignment horizontal="center" vertical="center"/>
      <protection locked="0"/>
    </xf>
    <xf numFmtId="0" fontId="9" fillId="18" borderId="14" xfId="0" applyNumberFormat="1" applyFont="1" applyFill="1" applyBorder="1" applyAlignment="1" applyProtection="1">
      <alignment horizontal="center" vertical="center"/>
      <protection locked="0"/>
    </xf>
    <xf numFmtId="49" fontId="9" fillId="18" borderId="14" xfId="0" applyNumberFormat="1" applyFont="1" applyFill="1" applyBorder="1" applyAlignment="1" applyProtection="1">
      <alignment horizontal="center" vertical="center"/>
      <protection locked="0"/>
    </xf>
    <xf numFmtId="166" fontId="9" fillId="18" borderId="14" xfId="0" applyNumberFormat="1" applyFont="1" applyFill="1" applyBorder="1" applyAlignment="1" applyProtection="1">
      <alignment horizontal="center" vertical="center"/>
      <protection locked="0"/>
    </xf>
    <xf numFmtId="0" fontId="9" fillId="19" borderId="14" xfId="0" applyNumberFormat="1" applyFont="1" applyFill="1" applyBorder="1" applyAlignment="1" applyProtection="1">
      <alignment horizontal="center" vertical="center"/>
      <protection locked="0"/>
    </xf>
    <xf numFmtId="0" fontId="9" fillId="18" borderId="12" xfId="0" applyNumberFormat="1" applyFont="1" applyFill="1" applyBorder="1" applyAlignment="1" applyProtection="1">
      <alignment horizontal="center" vertical="center"/>
      <protection locked="0"/>
    </xf>
    <xf numFmtId="0" fontId="9" fillId="19" borderId="6" xfId="0" applyNumberFormat="1" applyFont="1" applyFill="1" applyBorder="1" applyAlignment="1" applyProtection="1">
      <alignment horizontal="center" vertical="center"/>
      <protection locked="0"/>
    </xf>
    <xf numFmtId="166" fontId="9" fillId="18" borderId="6" xfId="0" applyNumberFormat="1" applyFont="1" applyFill="1" applyBorder="1" applyAlignment="1" applyProtection="1">
      <alignment horizontal="center" vertical="center"/>
      <protection locked="0"/>
    </xf>
    <xf numFmtId="0" fontId="9" fillId="18" borderId="13" xfId="0" applyNumberFormat="1" applyFont="1" applyFill="1" applyBorder="1" applyAlignment="1" applyProtection="1">
      <alignment horizontal="center" vertical="center"/>
      <protection locked="0"/>
    </xf>
    <xf numFmtId="0" fontId="9" fillId="18" borderId="15" xfId="0" applyNumberFormat="1" applyFont="1" applyFill="1" applyBorder="1" applyAlignment="1" applyProtection="1">
      <alignment horizontal="center" vertical="center"/>
      <protection locked="0"/>
    </xf>
    <xf numFmtId="2" fontId="9" fillId="18" borderId="15" xfId="0" applyNumberFormat="1" applyFont="1" applyFill="1" applyBorder="1" applyAlignment="1" applyProtection="1">
      <alignment horizontal="center" vertical="center"/>
      <protection locked="0"/>
    </xf>
    <xf numFmtId="166" fontId="9" fillId="18" borderId="16" xfId="0" applyNumberFormat="1" applyFont="1" applyFill="1" applyBorder="1" applyAlignment="1" applyProtection="1">
      <alignment horizontal="center" vertical="center"/>
      <protection locked="0"/>
    </xf>
    <xf numFmtId="166" fontId="14" fillId="12" borderId="9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15" borderId="34" xfId="0" applyFont="1" applyFill="1" applyBorder="1" applyAlignment="1">
      <alignment horizontal="center" vertical="center"/>
    </xf>
    <xf numFmtId="0" fontId="0" fillId="15" borderId="35" xfId="0" applyFont="1" applyFill="1" applyBorder="1" applyAlignment="1">
      <alignment horizontal="center" vertical="center"/>
    </xf>
    <xf numFmtId="0" fontId="14" fillId="4" borderId="40" xfId="0" applyFont="1" applyFill="1" applyBorder="1" applyAlignment="1" applyProtection="1">
      <alignment horizontal="center" vertical="center"/>
      <protection locked="0"/>
    </xf>
    <xf numFmtId="0" fontId="0" fillId="3" borderId="3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15" borderId="1" xfId="0" applyFont="1" applyFill="1" applyBorder="1" applyAlignment="1">
      <alignment horizontal="center" vertical="center"/>
    </xf>
    <xf numFmtId="0" fontId="0" fillId="15" borderId="0" xfId="0" applyFont="1" applyFill="1" applyBorder="1" applyAlignment="1">
      <alignment horizontal="center" vertical="center"/>
    </xf>
    <xf numFmtId="0" fontId="14" fillId="4" borderId="41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15" borderId="39" xfId="0" applyFill="1" applyBorder="1" applyAlignment="1">
      <alignment horizontal="center" vertical="center"/>
    </xf>
    <xf numFmtId="0" fontId="0" fillId="15" borderId="26" xfId="0" applyFill="1" applyBorder="1" applyAlignment="1">
      <alignment horizontal="center" vertical="center"/>
    </xf>
    <xf numFmtId="49" fontId="0" fillId="15" borderId="39" xfId="0" applyNumberFormat="1" applyFont="1" applyFill="1" applyBorder="1" applyAlignment="1" applyProtection="1">
      <alignment horizontal="center" vertical="center"/>
      <protection locked="0"/>
    </xf>
    <xf numFmtId="49" fontId="0" fillId="15" borderId="26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17" borderId="42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16" borderId="45" xfId="0" applyFill="1" applyBorder="1" applyAlignment="1">
      <alignment horizontal="center" vertical="center"/>
    </xf>
    <xf numFmtId="0" fontId="0" fillId="16" borderId="36" xfId="0" applyFill="1" applyBorder="1" applyAlignment="1">
      <alignment horizontal="center" vertical="center"/>
    </xf>
    <xf numFmtId="0" fontId="0" fillId="16" borderId="46" xfId="0" applyFill="1" applyBorder="1" applyAlignment="1">
      <alignment horizontal="center" vertical="center"/>
    </xf>
    <xf numFmtId="0" fontId="14" fillId="9" borderId="40" xfId="0" applyFont="1" applyFill="1" applyBorder="1" applyAlignment="1" applyProtection="1">
      <alignment horizontal="center" vertical="center"/>
      <protection locked="0"/>
    </xf>
    <xf numFmtId="0" fontId="14" fillId="9" borderId="41" xfId="0" applyFont="1" applyFill="1" applyBorder="1" applyAlignment="1" applyProtection="1">
      <alignment horizontal="center" vertical="center"/>
      <protection locked="0"/>
    </xf>
    <xf numFmtId="0" fontId="0" fillId="15" borderId="1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4" fillId="3" borderId="47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5" borderId="0" xfId="0" applyFill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9" fillId="20" borderId="33" xfId="0" applyFont="1" applyFill="1" applyBorder="1" applyAlignment="1">
      <alignment horizontal="center" vertical="center"/>
    </xf>
    <xf numFmtId="0" fontId="9" fillId="20" borderId="25" xfId="0" applyFont="1" applyFill="1" applyBorder="1" applyAlignment="1">
      <alignment horizontal="center" vertical="center"/>
    </xf>
    <xf numFmtId="0" fontId="9" fillId="20" borderId="24" xfId="0" applyFont="1" applyFill="1" applyBorder="1" applyAlignment="1">
      <alignment horizontal="center" vertical="center"/>
    </xf>
    <xf numFmtId="0" fontId="0" fillId="15" borderId="49" xfId="0" applyFill="1" applyBorder="1" applyAlignment="1">
      <alignment horizontal="center" vertical="center"/>
    </xf>
    <xf numFmtId="0" fontId="0" fillId="15" borderId="50" xfId="0" applyFill="1" applyBorder="1" applyAlignment="1">
      <alignment horizontal="center" vertical="center"/>
    </xf>
    <xf numFmtId="0" fontId="13" fillId="16" borderId="51" xfId="0" applyFont="1" applyFill="1" applyBorder="1" applyAlignment="1">
      <alignment horizontal="center" vertical="center"/>
    </xf>
    <xf numFmtId="0" fontId="13" fillId="16" borderId="39" xfId="0" applyFont="1" applyFill="1" applyBorder="1" applyAlignment="1">
      <alignment horizontal="center" vertical="center"/>
    </xf>
    <xf numFmtId="0" fontId="9" fillId="20" borderId="0" xfId="0" applyFont="1" applyFill="1" applyAlignment="1">
      <alignment horizontal="center" vertical="center"/>
    </xf>
    <xf numFmtId="0" fontId="14" fillId="0" borderId="34" xfId="0" applyNumberFormat="1" applyFont="1" applyFill="1" applyBorder="1" applyAlignment="1">
      <alignment horizontal="center" vertical="center"/>
    </xf>
    <xf numFmtId="0" fontId="9" fillId="18" borderId="52" xfId="0" applyNumberFormat="1" applyFont="1" applyFill="1" applyBorder="1" applyAlignment="1" applyProtection="1">
      <alignment horizontal="center" vertical="center" wrapText="1"/>
      <protection locked="0"/>
    </xf>
    <xf numFmtId="0" fontId="9" fillId="18" borderId="32" xfId="0" applyNumberFormat="1" applyFont="1" applyFill="1" applyBorder="1" applyAlignment="1" applyProtection="1">
      <alignment horizontal="center" vertical="center"/>
      <protection locked="0"/>
    </xf>
    <xf numFmtId="0" fontId="9" fillId="18" borderId="53" xfId="0" applyNumberFormat="1" applyFont="1" applyFill="1" applyBorder="1" applyAlignment="1" applyProtection="1">
      <alignment horizontal="center" vertical="center" wrapText="1"/>
      <protection locked="0"/>
    </xf>
    <xf numFmtId="0" fontId="9" fillId="18" borderId="54" xfId="0" applyNumberFormat="1" applyFont="1" applyFill="1" applyBorder="1" applyAlignment="1" applyProtection="1">
      <alignment horizontal="center" vertical="center"/>
      <protection locked="0"/>
    </xf>
    <xf numFmtId="0" fontId="9" fillId="18" borderId="49" xfId="0" applyNumberFormat="1" applyFont="1" applyFill="1" applyBorder="1" applyAlignment="1" applyProtection="1">
      <alignment horizontal="center" vertical="center"/>
      <protection locked="0"/>
    </xf>
    <xf numFmtId="0" fontId="9" fillId="18" borderId="50" xfId="0" applyNumberFormat="1" applyFont="1" applyFill="1" applyBorder="1" applyAlignment="1" applyProtection="1">
      <alignment horizontal="center" vertical="center"/>
      <protection locked="0"/>
    </xf>
    <xf numFmtId="0" fontId="9" fillId="18" borderId="17" xfId="0" applyNumberFormat="1" applyFont="1" applyFill="1" applyBorder="1" applyAlignment="1" applyProtection="1">
      <alignment horizontal="center" vertical="center"/>
      <protection locked="0"/>
    </xf>
    <xf numFmtId="0" fontId="9" fillId="18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18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18" borderId="14" xfId="0" applyNumberFormat="1" applyFont="1" applyFill="1" applyBorder="1" applyAlignment="1" applyProtection="1">
      <alignment horizontal="center" vertical="center"/>
      <protection locked="0"/>
    </xf>
    <xf numFmtId="2" fontId="8" fillId="0" borderId="3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9" fillId="18" borderId="52" xfId="0" applyNumberFormat="1" applyFont="1" applyFill="1" applyBorder="1" applyAlignment="1" applyProtection="1">
      <alignment horizontal="center" vertical="center" wrapText="1"/>
      <protection locked="0"/>
    </xf>
    <xf numFmtId="49" fontId="9" fillId="18" borderId="32" xfId="0" applyNumberFormat="1" applyFont="1" applyFill="1" applyBorder="1" applyAlignment="1" applyProtection="1">
      <alignment horizontal="center" vertical="center"/>
      <protection locked="0"/>
    </xf>
    <xf numFmtId="9" fontId="9" fillId="18" borderId="52" xfId="0" applyNumberFormat="1" applyFont="1" applyFill="1" applyBorder="1" applyAlignment="1" applyProtection="1">
      <alignment horizontal="center" vertical="center"/>
      <protection locked="0"/>
    </xf>
    <xf numFmtId="0" fontId="4" fillId="17" borderId="47" xfId="0" applyFont="1" applyFill="1" applyBorder="1" applyAlignment="1">
      <alignment horizontal="center" vertical="center" textRotation="90"/>
    </xf>
    <xf numFmtId="0" fontId="4" fillId="17" borderId="48" xfId="0" applyFont="1" applyFill="1" applyBorder="1" applyAlignment="1">
      <alignment horizontal="center" vertical="center" textRotation="90"/>
    </xf>
    <xf numFmtId="0" fontId="4" fillId="17" borderId="55" xfId="0" applyFont="1" applyFill="1" applyBorder="1" applyAlignment="1">
      <alignment horizontal="center" vertical="center" textRotation="9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ill>
        <patternFill>
          <bgColor rgb="FFFF0000"/>
        </patternFill>
      </fill>
      <border/>
    </dxf>
    <dxf>
      <font>
        <color rgb="FF0000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20</xdr:row>
      <xdr:rowOff>0</xdr:rowOff>
    </xdr:from>
    <xdr:to>
      <xdr:col>2</xdr:col>
      <xdr:colOff>609600</xdr:colOff>
      <xdr:row>20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40195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104775</xdr:colOff>
      <xdr:row>20</xdr:row>
      <xdr:rowOff>0</xdr:rowOff>
    </xdr:from>
    <xdr:to>
      <xdr:col>7</xdr:col>
      <xdr:colOff>323850</xdr:colOff>
      <xdr:row>20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4019550"/>
          <a:ext cx="1590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20</xdr:row>
      <xdr:rowOff>0</xdr:rowOff>
    </xdr:from>
    <xdr:to>
      <xdr:col>9</xdr:col>
      <xdr:colOff>533400</xdr:colOff>
      <xdr:row>20</xdr:row>
      <xdr:rowOff>0</xdr:rowOff>
    </xdr:to>
    <xdr:pic>
      <xdr:nvPicPr>
        <xdr:cNvPr id="3" name="Toggle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72125" y="40195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4</xdr:row>
      <xdr:rowOff>0</xdr:rowOff>
    </xdr:from>
    <xdr:to>
      <xdr:col>9</xdr:col>
      <xdr:colOff>1047750</xdr:colOff>
      <xdr:row>5</xdr:row>
      <xdr:rowOff>38100</xdr:rowOff>
    </xdr:to>
    <xdr:pic>
      <xdr:nvPicPr>
        <xdr:cNvPr id="4" name="T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81725" y="733425"/>
          <a:ext cx="5810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</xdr:col>
      <xdr:colOff>495300</xdr:colOff>
      <xdr:row>8</xdr:row>
      <xdr:rowOff>95250</xdr:rowOff>
    </xdr:from>
    <xdr:to>
      <xdr:col>11</xdr:col>
      <xdr:colOff>457200</xdr:colOff>
      <xdr:row>16</xdr:row>
      <xdr:rowOff>104775</xdr:rowOff>
    </xdr:to>
    <xdr:grpSp>
      <xdr:nvGrpSpPr>
        <xdr:cNvPr id="5" name="Group 47"/>
        <xdr:cNvGrpSpPr>
          <a:grpSpLocks/>
        </xdr:cNvGrpSpPr>
      </xdr:nvGrpSpPr>
      <xdr:grpSpPr>
        <a:xfrm>
          <a:off x="5295900" y="1638300"/>
          <a:ext cx="2743200" cy="1809750"/>
          <a:chOff x="494" y="175"/>
          <a:chExt cx="253" cy="190"/>
        </a:xfrm>
        <a:solidFill>
          <a:srgbClr val="FFFFFF"/>
        </a:solidFill>
      </xdr:grpSpPr>
      <xdr:grpSp>
        <xdr:nvGrpSpPr>
          <xdr:cNvPr id="6" name="Group 27"/>
          <xdr:cNvGrpSpPr>
            <a:grpSpLocks/>
          </xdr:cNvGrpSpPr>
        </xdr:nvGrpSpPr>
        <xdr:grpSpPr>
          <a:xfrm>
            <a:off x="583" y="230"/>
            <a:ext cx="76" cy="70"/>
            <a:chOff x="5295" y="1881"/>
            <a:chExt cx="1145" cy="1049"/>
          </a:xfrm>
          <a:solidFill>
            <a:srgbClr val="FFFFFF"/>
          </a:solidFill>
        </xdr:grpSpPr>
        <xdr:grpSp>
          <xdr:nvGrpSpPr>
            <xdr:cNvPr id="7" name="Group 28"/>
            <xdr:cNvGrpSpPr>
              <a:grpSpLocks/>
            </xdr:cNvGrpSpPr>
          </xdr:nvGrpSpPr>
          <xdr:grpSpPr>
            <a:xfrm>
              <a:off x="5295" y="1881"/>
              <a:ext cx="1145" cy="1049"/>
              <a:chOff x="2094" y="1078"/>
              <a:chExt cx="1145" cy="1049"/>
            </a:xfrm>
            <a:solidFill>
              <a:srgbClr val="FFFFFF"/>
            </a:solidFill>
          </xdr:grpSpPr>
          <xdr:sp>
            <xdr:nvSpPr>
              <xdr:cNvPr id="8" name="AutoShape 29"/>
              <xdr:cNvSpPr>
                <a:spLocks noChangeAspect="1"/>
              </xdr:cNvSpPr>
            </xdr:nvSpPr>
            <xdr:spPr>
              <a:xfrm>
                <a:off x="2544" y="1078"/>
                <a:ext cx="231" cy="207"/>
              </a:xfrm>
              <a:prstGeom prst="ellips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9" name="AutoShape 30"/>
              <xdr:cNvSpPr>
                <a:spLocks noChangeAspect="1"/>
              </xdr:cNvSpPr>
            </xdr:nvSpPr>
            <xdr:spPr>
              <a:xfrm rot="16200000">
                <a:off x="2094" y="1597"/>
                <a:ext cx="1145" cy="516"/>
              </a:xfrm>
              <a:prstGeom prst="moon">
                <a:avLst>
                  <a:gd name="adj" fmla="val -26708"/>
                </a:avLst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0" name="AutoShape 31"/>
              <xdr:cNvSpPr>
                <a:spLocks noChangeAspect="1"/>
              </xdr:cNvSpPr>
            </xdr:nvSpPr>
            <xdr:spPr>
              <a:xfrm>
                <a:off x="2666" y="1285"/>
                <a:ext cx="0" cy="828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grpSp>
            <xdr:nvGrpSpPr>
              <xdr:cNvPr id="11" name="Group 32"/>
              <xdr:cNvGrpSpPr>
                <a:grpSpLocks noChangeAspect="1"/>
              </xdr:cNvGrpSpPr>
            </xdr:nvGrpSpPr>
            <xdr:grpSpPr>
              <a:xfrm>
                <a:off x="2715" y="1309"/>
                <a:ext cx="272" cy="163"/>
                <a:chOff x="3312" y="5040"/>
                <a:chExt cx="204" cy="102"/>
              </a:xfrm>
              <a:solidFill>
                <a:srgbClr val="FFFFFF"/>
              </a:solidFill>
            </xdr:grpSpPr>
            <xdr:sp>
              <xdr:nvSpPr>
                <xdr:cNvPr id="12" name="AutoShape 33"/>
                <xdr:cNvSpPr>
                  <a:spLocks noChangeAspect="1"/>
                </xdr:cNvSpPr>
              </xdr:nvSpPr>
              <xdr:spPr>
                <a:xfrm rot="5400000">
                  <a:off x="3346" y="5007"/>
                  <a:ext cx="101" cy="170"/>
                </a:xfrm>
                <a:prstGeom prst="trapezoid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3" name="AutoShape 34"/>
                <xdr:cNvSpPr>
                  <a:spLocks noChangeAspect="1"/>
                </xdr:cNvSpPr>
              </xdr:nvSpPr>
              <xdr:spPr>
                <a:xfrm>
                  <a:off x="3425" y="5040"/>
                  <a:ext cx="91" cy="102"/>
                </a:xfrm>
                <a:prstGeom prst="ellipse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grpSp>
            <xdr:nvGrpSpPr>
              <xdr:cNvPr id="14" name="Group 35"/>
              <xdr:cNvGrpSpPr>
                <a:grpSpLocks noChangeAspect="1"/>
              </xdr:cNvGrpSpPr>
            </xdr:nvGrpSpPr>
            <xdr:grpSpPr>
              <a:xfrm flipH="1">
                <a:off x="2343" y="1309"/>
                <a:ext cx="273" cy="163"/>
                <a:chOff x="3312" y="5040"/>
                <a:chExt cx="204" cy="102"/>
              </a:xfrm>
              <a:solidFill>
                <a:srgbClr val="FFFFFF"/>
              </a:solidFill>
            </xdr:grpSpPr>
            <xdr:sp>
              <xdr:nvSpPr>
                <xdr:cNvPr id="15" name="AutoShape 36"/>
                <xdr:cNvSpPr>
                  <a:spLocks noChangeAspect="1"/>
                </xdr:cNvSpPr>
              </xdr:nvSpPr>
              <xdr:spPr>
                <a:xfrm rot="5400000">
                  <a:off x="3346" y="5007"/>
                  <a:ext cx="101" cy="170"/>
                </a:xfrm>
                <a:prstGeom prst="trapezoid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6" name="AutoShape 37"/>
                <xdr:cNvSpPr>
                  <a:spLocks noChangeAspect="1"/>
                </xdr:cNvSpPr>
              </xdr:nvSpPr>
              <xdr:spPr>
                <a:xfrm>
                  <a:off x="3425" y="5040"/>
                  <a:ext cx="91" cy="102"/>
                </a:xfrm>
                <a:prstGeom prst="ellipse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sp>
            <xdr:nvSpPr>
              <xdr:cNvPr id="17" name="AutoShape 38"/>
              <xdr:cNvSpPr>
                <a:spLocks noChangeAspect="1"/>
              </xdr:cNvSpPr>
            </xdr:nvSpPr>
            <xdr:spPr>
              <a:xfrm>
                <a:off x="2664" y="2127"/>
                <a:ext cx="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8" name="AutoShape 39"/>
              <xdr:cNvSpPr>
                <a:spLocks noChangeAspect="1"/>
              </xdr:cNvSpPr>
            </xdr:nvSpPr>
            <xdr:spPr>
              <a:xfrm>
                <a:off x="2094" y="1597"/>
                <a:ext cx="183" cy="173"/>
              </a:xfrm>
              <a:custGeom>
                <a:pathLst>
                  <a:path h="168" w="144">
                    <a:moveTo>
                      <a:pt x="57" y="168"/>
                    </a:moveTo>
                    <a:lnTo>
                      <a:pt x="144" y="144"/>
                    </a:lnTo>
                    <a:lnTo>
                      <a:pt x="57" y="87"/>
                    </a:lnTo>
                    <a:lnTo>
                      <a:pt x="0" y="0"/>
                    </a:lnTo>
                    <a:lnTo>
                      <a:pt x="57" y="168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9" name="AutoShape 40"/>
              <xdr:cNvSpPr>
                <a:spLocks noChangeAspect="1"/>
              </xdr:cNvSpPr>
            </xdr:nvSpPr>
            <xdr:spPr>
              <a:xfrm>
                <a:off x="2673" y="1755"/>
                <a:ext cx="231" cy="250"/>
              </a:xfrm>
              <a:custGeom>
                <a:pathLst>
                  <a:path h="156" w="144">
                    <a:moveTo>
                      <a:pt x="12" y="0"/>
                    </a:moveTo>
                    <a:lnTo>
                      <a:pt x="30" y="60"/>
                    </a:lnTo>
                    <a:lnTo>
                      <a:pt x="54" y="105"/>
                    </a:lnTo>
                    <a:lnTo>
                      <a:pt x="87" y="123"/>
                    </a:lnTo>
                    <a:lnTo>
                      <a:pt x="144" y="138"/>
                    </a:lnTo>
                    <a:lnTo>
                      <a:pt x="0" y="156"/>
                    </a:lnTo>
                    <a:lnTo>
                      <a:pt x="12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0" name="AutoShape 41"/>
              <xdr:cNvSpPr>
                <a:spLocks noChangeAspect="1"/>
              </xdr:cNvSpPr>
            </xdr:nvSpPr>
            <xdr:spPr>
              <a:xfrm flipH="1">
                <a:off x="2430" y="1749"/>
                <a:ext cx="231" cy="250"/>
              </a:xfrm>
              <a:custGeom>
                <a:pathLst>
                  <a:path h="156" w="144">
                    <a:moveTo>
                      <a:pt x="12" y="0"/>
                    </a:moveTo>
                    <a:lnTo>
                      <a:pt x="30" y="60"/>
                    </a:lnTo>
                    <a:lnTo>
                      <a:pt x="54" y="105"/>
                    </a:lnTo>
                    <a:lnTo>
                      <a:pt x="87" y="123"/>
                    </a:lnTo>
                    <a:lnTo>
                      <a:pt x="144" y="138"/>
                    </a:lnTo>
                    <a:lnTo>
                      <a:pt x="0" y="156"/>
                    </a:lnTo>
                    <a:lnTo>
                      <a:pt x="12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1" name="AutoShape 42"/>
              <xdr:cNvSpPr>
                <a:spLocks noChangeAspect="1"/>
              </xdr:cNvSpPr>
            </xdr:nvSpPr>
            <xdr:spPr>
              <a:xfrm flipH="1">
                <a:off x="3056" y="1597"/>
                <a:ext cx="183" cy="173"/>
              </a:xfrm>
              <a:custGeom>
                <a:pathLst>
                  <a:path h="168" w="144">
                    <a:moveTo>
                      <a:pt x="57" y="168"/>
                    </a:moveTo>
                    <a:lnTo>
                      <a:pt x="144" y="144"/>
                    </a:lnTo>
                    <a:lnTo>
                      <a:pt x="57" y="87"/>
                    </a:lnTo>
                    <a:lnTo>
                      <a:pt x="0" y="0"/>
                    </a:lnTo>
                    <a:lnTo>
                      <a:pt x="57" y="168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22" name="AutoShape 43"/>
            <xdr:cNvSpPr>
              <a:spLocks/>
            </xdr:cNvSpPr>
          </xdr:nvSpPr>
          <xdr:spPr>
            <a:xfrm>
              <a:off x="5478" y="2275"/>
              <a:ext cx="779" cy="453"/>
            </a:xfrm>
            <a:prstGeom prst="horizontalScroll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OLGO-DON%205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19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RAFT"/>
      <sheetName val="BALLAST"/>
      <sheetName val="LOG"/>
      <sheetName val="REPORT"/>
      <sheetName val="@"/>
    </sheetNames>
    <sheetDataSet>
      <sheetData sheetId="0">
        <row r="1">
          <cell r="C1" t="str">
            <v>VOLGO-DON 507B</v>
          </cell>
        </row>
        <row r="2">
          <cell r="C2">
            <v>135</v>
          </cell>
          <cell r="D2">
            <v>16.5</v>
          </cell>
        </row>
        <row r="6">
          <cell r="G6">
            <v>3143.2</v>
          </cell>
          <cell r="H6">
            <v>4400</v>
          </cell>
        </row>
        <row r="7">
          <cell r="C7">
            <v>21.3</v>
          </cell>
          <cell r="D7">
            <v>21.3</v>
          </cell>
          <cell r="G7">
            <v>19.3904</v>
          </cell>
          <cell r="H7">
            <v>20.1</v>
          </cell>
        </row>
        <row r="8">
          <cell r="C8">
            <v>5.8</v>
          </cell>
          <cell r="D8">
            <v>5.8</v>
          </cell>
          <cell r="G8">
            <v>0.0020000000000000018</v>
          </cell>
          <cell r="H8">
            <v>0.973</v>
          </cell>
        </row>
        <row r="9">
          <cell r="C9">
            <v>0</v>
          </cell>
          <cell r="D9">
            <v>0</v>
          </cell>
          <cell r="G9">
            <v>19.96</v>
          </cell>
          <cell r="H9">
            <v>20.6</v>
          </cell>
        </row>
        <row r="10">
          <cell r="C10" t="str">
            <v>1.005</v>
          </cell>
          <cell r="D10" t="str">
            <v>1.005</v>
          </cell>
          <cell r="G10">
            <v>18.7646</v>
          </cell>
          <cell r="H10">
            <v>19.564</v>
          </cell>
        </row>
        <row r="11">
          <cell r="C11">
            <v>0.69</v>
          </cell>
          <cell r="D11">
            <v>1.73</v>
          </cell>
          <cell r="G11">
            <v>44</v>
          </cell>
          <cell r="H11">
            <v>40</v>
          </cell>
        </row>
        <row r="12">
          <cell r="D12">
            <v>1.73</v>
          </cell>
          <cell r="G12">
            <v>31.9</v>
          </cell>
          <cell r="H12">
            <v>30.7</v>
          </cell>
        </row>
        <row r="13">
          <cell r="C13">
            <v>3.04</v>
          </cell>
          <cell r="D13">
            <v>3.26</v>
          </cell>
          <cell r="G13">
            <v>1</v>
          </cell>
          <cell r="H13">
            <v>1</v>
          </cell>
        </row>
        <row r="14">
          <cell r="C14">
            <v>2.95</v>
          </cell>
          <cell r="D14">
            <v>3.22</v>
          </cell>
          <cell r="G14">
            <v>5</v>
          </cell>
          <cell r="H14">
            <v>10.5</v>
          </cell>
        </row>
        <row r="15">
          <cell r="C15">
            <v>1.77</v>
          </cell>
          <cell r="D15">
            <v>2.37</v>
          </cell>
          <cell r="G15">
            <v>1372.70413</v>
          </cell>
          <cell r="H15">
            <v>19.8869</v>
          </cell>
        </row>
        <row r="16">
          <cell r="C16">
            <v>1.66</v>
          </cell>
          <cell r="D16">
            <v>2.32</v>
          </cell>
          <cell r="G16">
            <v>1454.6041300000002</v>
          </cell>
          <cell r="H16">
            <v>102.0869</v>
          </cell>
        </row>
      </sheetData>
      <sheetData sheetId="1">
        <row r="4">
          <cell r="C4">
            <v>0.11</v>
          </cell>
          <cell r="E4">
            <v>0.75</v>
          </cell>
          <cell r="F4">
            <v>0.7575000000000001</v>
          </cell>
          <cell r="I4">
            <v>0.05</v>
          </cell>
          <cell r="K4">
            <v>0.15</v>
          </cell>
          <cell r="L4">
            <v>0.1515</v>
          </cell>
        </row>
        <row r="5">
          <cell r="C5">
            <v>0.09</v>
          </cell>
          <cell r="E5">
            <v>0</v>
          </cell>
          <cell r="F5">
            <v>0</v>
          </cell>
          <cell r="I5">
            <v>0.02</v>
          </cell>
          <cell r="K5">
            <v>0</v>
          </cell>
          <cell r="L5">
            <v>0</v>
          </cell>
        </row>
        <row r="6">
          <cell r="C6">
            <v>0.42</v>
          </cell>
          <cell r="E6">
            <v>25.812</v>
          </cell>
          <cell r="F6">
            <v>26.070120000000003</v>
          </cell>
          <cell r="I6">
            <v>0.04</v>
          </cell>
          <cell r="K6">
            <v>1.82</v>
          </cell>
          <cell r="L6">
            <v>1.8382</v>
          </cell>
        </row>
        <row r="7">
          <cell r="C7">
            <v>0.36</v>
          </cell>
          <cell r="E7">
            <v>18.573999999999998</v>
          </cell>
          <cell r="F7">
            <v>18.759739999999997</v>
          </cell>
          <cell r="I7">
            <v>0.01</v>
          </cell>
          <cell r="K7">
            <v>1.82</v>
          </cell>
          <cell r="L7">
            <v>1.8382</v>
          </cell>
        </row>
        <row r="8">
          <cell r="C8">
            <v>0.1</v>
          </cell>
          <cell r="E8">
            <v>2.39</v>
          </cell>
          <cell r="F8">
            <v>2.4139</v>
          </cell>
          <cell r="I8">
            <v>0.03</v>
          </cell>
          <cell r="K8">
            <v>2.39</v>
          </cell>
          <cell r="L8">
            <v>2.4139</v>
          </cell>
        </row>
        <row r="9">
          <cell r="C9">
            <v>2.18</v>
          </cell>
          <cell r="E9">
            <v>191.17</v>
          </cell>
          <cell r="F9">
            <v>193.08169999999998</v>
          </cell>
          <cell r="I9">
            <v>0.03</v>
          </cell>
          <cell r="K9">
            <v>2.39</v>
          </cell>
          <cell r="L9">
            <v>2.4139</v>
          </cell>
        </row>
        <row r="10">
          <cell r="C10">
            <v>3.71</v>
          </cell>
          <cell r="E10">
            <v>582.299</v>
          </cell>
          <cell r="F10">
            <v>588.12199</v>
          </cell>
          <cell r="I10">
            <v>0.03</v>
          </cell>
          <cell r="K10">
            <v>5.56</v>
          </cell>
          <cell r="L10">
            <v>5.6156</v>
          </cell>
        </row>
        <row r="11">
          <cell r="C11">
            <v>3.24</v>
          </cell>
          <cell r="E11">
            <v>538.118</v>
          </cell>
          <cell r="F11">
            <v>543.49918</v>
          </cell>
          <cell r="I11">
            <v>0</v>
          </cell>
          <cell r="K11">
            <v>5.56</v>
          </cell>
          <cell r="L11">
            <v>5.6156</v>
          </cell>
        </row>
        <row r="12">
          <cell r="C12">
            <v>3.15</v>
          </cell>
          <cell r="E12">
            <v>0</v>
          </cell>
          <cell r="F12">
            <v>0</v>
          </cell>
          <cell r="I12">
            <v>0</v>
          </cell>
          <cell r="K12">
            <v>0</v>
          </cell>
          <cell r="L12">
            <v>0</v>
          </cell>
        </row>
        <row r="13">
          <cell r="C13">
            <v>0.07</v>
          </cell>
          <cell r="E13">
            <v>0</v>
          </cell>
          <cell r="F13">
            <v>0</v>
          </cell>
          <cell r="I13">
            <v>0.06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I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I15">
            <v>0</v>
          </cell>
          <cell r="K15">
            <v>0</v>
          </cell>
          <cell r="L15">
            <v>0</v>
          </cell>
        </row>
        <row r="16">
          <cell r="F16">
            <v>1372.70413</v>
          </cell>
          <cell r="L16">
            <v>19.8869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21"/>
  <sheetViews>
    <sheetView showGridLines="0" tabSelected="1" workbookViewId="0" topLeftCell="A1">
      <selection activeCell="L10" sqref="L10"/>
    </sheetView>
  </sheetViews>
  <sheetFormatPr defaultColWidth="9.00390625" defaultRowHeight="12.75"/>
  <cols>
    <col min="9" max="9" width="3.00390625" style="0" customWidth="1"/>
    <col min="10" max="10" width="21.75390625" style="0" customWidth="1"/>
    <col min="11" max="11" width="2.75390625" style="0" customWidth="1"/>
  </cols>
  <sheetData>
    <row r="1" spans="1:39" ht="15.75">
      <c r="A1" s="303" t="s">
        <v>0</v>
      </c>
      <c r="B1" s="304"/>
      <c r="C1" s="304"/>
      <c r="D1" s="304"/>
      <c r="E1" s="304"/>
      <c r="F1" s="304"/>
      <c r="G1" s="304"/>
      <c r="H1" s="30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3.5" thickBot="1">
      <c r="A2" s="306" t="s">
        <v>93</v>
      </c>
      <c r="B2" s="307"/>
      <c r="C2" s="307"/>
      <c r="D2" s="307"/>
      <c r="E2" s="307"/>
      <c r="F2" s="307"/>
      <c r="G2" s="307"/>
      <c r="H2" s="30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s="1" customFormat="1" ht="15.75" customHeight="1" thickBot="1">
      <c r="A3" s="301" t="s">
        <v>5</v>
      </c>
      <c r="B3" s="302"/>
      <c r="C3" s="302"/>
      <c r="D3" s="302"/>
      <c r="E3" s="302"/>
      <c r="F3" s="302"/>
      <c r="G3" s="302"/>
      <c r="H3" s="302"/>
      <c r="I3" s="132"/>
      <c r="J3" s="133"/>
      <c r="K3" s="13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12.75">
      <c r="A4" s="39" t="s">
        <v>1</v>
      </c>
      <c r="B4" s="34">
        <v>105.8</v>
      </c>
      <c r="C4" s="39" t="s">
        <v>102</v>
      </c>
      <c r="D4" s="33">
        <v>1456</v>
      </c>
      <c r="E4" s="40" t="s">
        <v>3</v>
      </c>
      <c r="F4" s="35">
        <v>16.5</v>
      </c>
      <c r="G4" s="40" t="s">
        <v>19</v>
      </c>
      <c r="H4" s="35">
        <v>6.7</v>
      </c>
      <c r="I4" s="135"/>
      <c r="J4" s="128" t="s">
        <v>106</v>
      </c>
      <c r="K4" s="136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21" thickBot="1">
      <c r="A5" s="40" t="s">
        <v>2</v>
      </c>
      <c r="B5" s="35">
        <v>102.6</v>
      </c>
      <c r="C5" s="40" t="s">
        <v>32</v>
      </c>
      <c r="D5" s="33">
        <v>98.6</v>
      </c>
      <c r="E5" s="41" t="s">
        <v>29</v>
      </c>
      <c r="F5" s="276">
        <v>1.025</v>
      </c>
      <c r="G5" s="41" t="s">
        <v>23</v>
      </c>
      <c r="H5" s="36">
        <v>-0.9</v>
      </c>
      <c r="I5" s="135"/>
      <c r="J5" s="127"/>
      <c r="K5" s="13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3.5" thickBot="1">
      <c r="A6" s="314" t="s">
        <v>4</v>
      </c>
      <c r="B6" s="315"/>
      <c r="C6" s="315"/>
      <c r="D6" s="315"/>
      <c r="E6" s="315"/>
      <c r="F6" s="315"/>
      <c r="G6" s="315"/>
      <c r="H6" s="315"/>
      <c r="I6" s="135"/>
      <c r="J6" s="127"/>
      <c r="K6" s="13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2.75">
      <c r="A7" s="316" t="s">
        <v>6</v>
      </c>
      <c r="B7" s="289" t="s">
        <v>58</v>
      </c>
      <c r="C7" s="290"/>
      <c r="D7" s="289" t="s">
        <v>59</v>
      </c>
      <c r="E7" s="290"/>
      <c r="F7" s="122" t="s">
        <v>55</v>
      </c>
      <c r="G7" s="42" t="s">
        <v>60</v>
      </c>
      <c r="H7" s="130" t="s">
        <v>59</v>
      </c>
      <c r="I7" s="135"/>
      <c r="J7" s="129" t="s">
        <v>108</v>
      </c>
      <c r="K7" s="136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s="1" customFormat="1" ht="16.5" customHeight="1" thickBot="1">
      <c r="A8" s="317"/>
      <c r="B8" s="3" t="s">
        <v>12</v>
      </c>
      <c r="C8" s="4" t="s">
        <v>13</v>
      </c>
      <c r="D8" s="3" t="s">
        <v>12</v>
      </c>
      <c r="E8" s="30" t="s">
        <v>13</v>
      </c>
      <c r="F8" s="123" t="s">
        <v>14</v>
      </c>
      <c r="G8" s="116">
        <v>91</v>
      </c>
      <c r="H8" s="131">
        <v>89.5</v>
      </c>
      <c r="I8" s="137"/>
      <c r="J8" s="138"/>
      <c r="K8" s="13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10" s="2" customFormat="1" ht="20.25">
      <c r="A9" s="37" t="s">
        <v>7</v>
      </c>
      <c r="B9" s="309">
        <v>0.39</v>
      </c>
      <c r="C9" s="310"/>
      <c r="D9" s="288">
        <v>3.085</v>
      </c>
      <c r="E9" s="293"/>
      <c r="F9" s="123" t="s">
        <v>18</v>
      </c>
      <c r="G9" s="116">
        <v>2.2</v>
      </c>
      <c r="H9" s="117">
        <v>2.2</v>
      </c>
      <c r="I9" s="31"/>
      <c r="J9" s="32"/>
    </row>
    <row r="10" spans="1:11" ht="20.25">
      <c r="A10" s="106" t="s">
        <v>8</v>
      </c>
      <c r="B10" s="107"/>
      <c r="C10" s="107"/>
      <c r="D10" s="107"/>
      <c r="E10" s="107"/>
      <c r="F10" s="123" t="s">
        <v>22</v>
      </c>
      <c r="G10" s="116">
        <v>57.86</v>
      </c>
      <c r="H10" s="117">
        <v>32</v>
      </c>
      <c r="I10" s="32"/>
      <c r="J10" s="32"/>
      <c r="K10" s="2"/>
    </row>
    <row r="11" spans="1:11" ht="20.25">
      <c r="A11" s="37" t="s">
        <v>9</v>
      </c>
      <c r="B11" s="110">
        <v>1.25</v>
      </c>
      <c r="C11" s="110">
        <v>1.34</v>
      </c>
      <c r="D11" s="111">
        <v>3.14</v>
      </c>
      <c r="E11" s="112">
        <v>3.095</v>
      </c>
      <c r="F11" s="123" t="s">
        <v>56</v>
      </c>
      <c r="G11" s="116">
        <v>0</v>
      </c>
      <c r="H11" s="117">
        <v>0</v>
      </c>
      <c r="I11" s="32"/>
      <c r="J11" s="32"/>
      <c r="K11" s="2"/>
    </row>
    <row r="12" spans="1:11" ht="20.25">
      <c r="A12" s="106" t="s">
        <v>10</v>
      </c>
      <c r="B12" s="107"/>
      <c r="C12" s="107"/>
      <c r="D12" s="107"/>
      <c r="E12" s="107"/>
      <c r="F12" s="123" t="s">
        <v>57</v>
      </c>
      <c r="G12" s="118">
        <v>1</v>
      </c>
      <c r="H12" s="119">
        <v>2</v>
      </c>
      <c r="I12" s="32"/>
      <c r="J12" s="32"/>
      <c r="K12" s="2"/>
    </row>
    <row r="13" spans="1:11" ht="21" thickBot="1">
      <c r="A13" s="38" t="s">
        <v>11</v>
      </c>
      <c r="B13" s="113">
        <v>3.4</v>
      </c>
      <c r="C13" s="113">
        <v>3.25</v>
      </c>
      <c r="D13" s="114">
        <v>3.235</v>
      </c>
      <c r="E13" s="115">
        <v>3.225</v>
      </c>
      <c r="F13" s="124" t="s">
        <v>92</v>
      </c>
      <c r="G13" s="120">
        <v>13.4</v>
      </c>
      <c r="H13" s="121">
        <v>13.4</v>
      </c>
      <c r="I13" s="32"/>
      <c r="J13" s="32"/>
      <c r="K13" s="2"/>
    </row>
    <row r="14" spans="6:11" ht="13.5" thickBot="1">
      <c r="F14" t="s">
        <v>94</v>
      </c>
      <c r="G14">
        <f>SUM(G8:G13)</f>
        <v>165.46</v>
      </c>
      <c r="H14">
        <f>SUM(H8:H13)</f>
        <v>139.1</v>
      </c>
      <c r="I14" s="32"/>
      <c r="J14" s="32"/>
      <c r="K14" s="2"/>
    </row>
    <row r="15" spans="1:11" ht="12.75">
      <c r="A15" s="294" t="s">
        <v>95</v>
      </c>
      <c r="B15" s="295"/>
      <c r="C15" s="295"/>
      <c r="D15" s="295"/>
      <c r="E15" s="295"/>
      <c r="F15" s="295"/>
      <c r="G15" s="295"/>
      <c r="H15" s="296"/>
      <c r="I15" s="2"/>
      <c r="J15" s="2"/>
      <c r="K15" s="2"/>
    </row>
    <row r="16" spans="1:8" s="105" customFormat="1" ht="13.5" thickBot="1">
      <c r="A16" s="311"/>
      <c r="B16" s="286"/>
      <c r="C16" s="286"/>
      <c r="D16" s="286"/>
      <c r="E16" s="286"/>
      <c r="F16" s="286"/>
      <c r="G16" s="286"/>
      <c r="H16" s="287"/>
    </row>
    <row r="17" spans="1:8" s="105" customFormat="1" ht="12.75">
      <c r="A17" s="294" t="s">
        <v>96</v>
      </c>
      <c r="B17" s="295"/>
      <c r="C17" s="295"/>
      <c r="D17" s="295"/>
      <c r="E17" s="295"/>
      <c r="F17" s="295"/>
      <c r="G17" s="295"/>
      <c r="H17" s="296"/>
    </row>
    <row r="18" spans="1:8" s="105" customFormat="1" ht="13.5" thickBot="1">
      <c r="A18" s="291"/>
      <c r="B18" s="292"/>
      <c r="C18" s="292"/>
      <c r="D18" s="292"/>
      <c r="E18" s="286"/>
      <c r="F18" s="286"/>
      <c r="G18" s="286"/>
      <c r="H18" s="287"/>
    </row>
    <row r="19" spans="1:8" s="105" customFormat="1" ht="13.5" thickBot="1">
      <c r="A19" s="259" t="s">
        <v>98</v>
      </c>
      <c r="B19" s="299"/>
      <c r="C19" s="299"/>
      <c r="D19" s="300"/>
      <c r="E19" s="260"/>
      <c r="F19" s="261" t="s">
        <v>208</v>
      </c>
      <c r="G19" s="262"/>
      <c r="H19" s="258" t="s">
        <v>212</v>
      </c>
    </row>
    <row r="20" spans="1:8" s="105" customFormat="1" ht="13.5" thickBot="1">
      <c r="A20" s="312" t="s">
        <v>101</v>
      </c>
      <c r="B20" s="313"/>
      <c r="C20" s="297"/>
      <c r="D20" s="297"/>
      <c r="E20" s="297"/>
      <c r="F20" s="297"/>
      <c r="G20" s="297"/>
      <c r="H20" s="298"/>
    </row>
    <row r="21" spans="9:11" ht="12.75">
      <c r="I21" s="2"/>
      <c r="J21" s="2"/>
      <c r="K21" s="2"/>
    </row>
  </sheetData>
  <mergeCells count="16">
    <mergeCell ref="C20:H20"/>
    <mergeCell ref="B19:D19"/>
    <mergeCell ref="A3:H3"/>
    <mergeCell ref="A1:H1"/>
    <mergeCell ref="A2:H2"/>
    <mergeCell ref="B9:C9"/>
    <mergeCell ref="A16:H16"/>
    <mergeCell ref="A20:B20"/>
    <mergeCell ref="A6:H6"/>
    <mergeCell ref="A7:A8"/>
    <mergeCell ref="B7:C7"/>
    <mergeCell ref="D7:E7"/>
    <mergeCell ref="A18:H18"/>
    <mergeCell ref="D9:E9"/>
    <mergeCell ref="A15:H15"/>
    <mergeCell ref="A17:H17"/>
  </mergeCells>
  <conditionalFormatting sqref="F4">
    <cfRule type="cellIs" priority="1" dxfId="0" operator="notBetween" stopIfTrue="1">
      <formula>15</formula>
      <formula>17</formula>
    </cfRule>
  </conditionalFormatting>
  <conditionalFormatting sqref="F5">
    <cfRule type="cellIs" priority="2" dxfId="0" operator="notBetween" stopIfTrue="1">
      <formula>0.95</formula>
      <formula>1.05</formula>
    </cfRule>
  </conditionalFormatting>
  <conditionalFormatting sqref="B4:B5">
    <cfRule type="cellIs" priority="3" dxfId="0" operator="notBetween" stopIfTrue="1">
      <formula>100</formula>
      <formula>110</formula>
    </cfRule>
  </conditionalFormatting>
  <conditionalFormatting sqref="D13:E13 D11:E11">
    <cfRule type="cellIs" priority="4" dxfId="0" operator="notBetween" stopIfTrue="1">
      <formula>1</formula>
      <formula>3.6</formula>
    </cfRule>
  </conditionalFormatting>
  <conditionalFormatting sqref="G8:H13 D9:E9">
    <cfRule type="cellIs" priority="5" dxfId="0" operator="lessThanOrEqual" stopIfTrue="1">
      <formula>0</formula>
    </cfRule>
  </conditionalFormatting>
  <conditionalFormatting sqref="B11:C11 B13:C13">
    <cfRule type="cellIs" priority="6" dxfId="0" operator="equal" stopIfTrue="1">
      <formula>0</formula>
    </cfRule>
  </conditionalFormatting>
  <conditionalFormatting sqref="B9:C9">
    <cfRule type="cellIs" priority="7" dxfId="0" operator="lessThan" stopIfTrue="1">
      <formula>0</formula>
    </cfRule>
  </conditionalFormatting>
  <printOptions/>
  <pageMargins left="0.75" right="0.75" top="1" bottom="1" header="0.5" footer="0.5"/>
  <pageSetup horizontalDpi="120" verticalDpi="12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K53"/>
  <sheetViews>
    <sheetView workbookViewId="0" topLeftCell="A1">
      <selection activeCell="B30" sqref="B30"/>
    </sheetView>
  </sheetViews>
  <sheetFormatPr defaultColWidth="9.00390625" defaultRowHeight="12.75"/>
  <cols>
    <col min="1" max="1" width="12.00390625" style="0" customWidth="1"/>
    <col min="9" max="9" width="11.25390625" style="0" customWidth="1"/>
  </cols>
  <sheetData>
    <row r="1" spans="1:11" ht="13.5" thickBot="1">
      <c r="A1" s="331" t="s">
        <v>86</v>
      </c>
      <c r="B1" s="331"/>
      <c r="C1" s="331"/>
      <c r="D1" s="331"/>
      <c r="E1" s="331"/>
      <c r="F1" s="331"/>
      <c r="G1" s="331"/>
      <c r="H1" s="331"/>
      <c r="I1" s="331"/>
      <c r="J1" s="277">
        <f>K3+1</f>
        <v>3</v>
      </c>
      <c r="K1" s="277">
        <f>J1-1</f>
        <v>2</v>
      </c>
    </row>
    <row r="2" spans="1:11" ht="12.75">
      <c r="A2" s="66" t="s">
        <v>72</v>
      </c>
      <c r="B2" s="67" t="s">
        <v>12</v>
      </c>
      <c r="C2" s="67" t="s">
        <v>13</v>
      </c>
      <c r="D2" s="67" t="s">
        <v>81</v>
      </c>
      <c r="E2" s="75" t="s">
        <v>76</v>
      </c>
      <c r="F2" s="81" t="s">
        <v>78</v>
      </c>
      <c r="G2" s="84">
        <f>D3-D5</f>
        <v>-2.935</v>
      </c>
      <c r="H2" s="87" t="s">
        <v>85</v>
      </c>
      <c r="I2" s="88">
        <f>IF(K1=1,B8,IF(K1=2,C8,IF(K1=3,D8,IF(K1=4,E8,"ОШИБКА"))))</f>
        <v>1.4212637621201096</v>
      </c>
      <c r="J2" t="s">
        <v>32</v>
      </c>
      <c r="K2">
        <f>data!B5-G4-G6</f>
        <v>93.17999999999999</v>
      </c>
    </row>
    <row r="3" spans="1:11" ht="12.75">
      <c r="A3" s="68" t="s">
        <v>74</v>
      </c>
      <c r="B3" s="323">
        <f>data!B9</f>
        <v>0.39</v>
      </c>
      <c r="C3" s="323"/>
      <c r="D3" s="65">
        <f>B3</f>
        <v>0.39</v>
      </c>
      <c r="E3" s="76">
        <f>D3+(Calc!G6*Calc!G2/(data!B5-G6))</f>
        <v>0.3100720865038046</v>
      </c>
      <c r="F3" s="82" t="s">
        <v>79</v>
      </c>
      <c r="G3" s="85">
        <f>E3-E5</f>
        <v>-2.809875775852817</v>
      </c>
      <c r="H3" s="89" t="s">
        <v>36</v>
      </c>
      <c r="I3" s="90">
        <f>VLOOKUP(ROUND(I2,2),tabl!A4:L294,4)</f>
        <v>13.72700000000009</v>
      </c>
      <c r="J3" t="s">
        <v>107</v>
      </c>
      <c r="K3">
        <v>2</v>
      </c>
    </row>
    <row r="4" spans="1:9" ht="12.75">
      <c r="A4" s="68" t="s">
        <v>73</v>
      </c>
      <c r="B4" s="65">
        <f>data!B11</f>
        <v>1.25</v>
      </c>
      <c r="C4" s="65">
        <f>data!C11</f>
        <v>1.34</v>
      </c>
      <c r="D4" s="65">
        <f>(B4+C4)/2</f>
        <v>1.295</v>
      </c>
      <c r="E4" s="76">
        <f>D4+(G5*G2/K2)</f>
        <v>1.3233483580167418</v>
      </c>
      <c r="F4" s="82" t="s">
        <v>19</v>
      </c>
      <c r="G4" s="85">
        <v>6.7</v>
      </c>
      <c r="H4" s="89" t="s">
        <v>17</v>
      </c>
      <c r="I4" s="90">
        <f>VLOOKUP(ROUND(I2,2),tabl!A4:L294,8)</f>
        <v>0.589</v>
      </c>
    </row>
    <row r="5" spans="1:9" ht="13.5" thickBot="1">
      <c r="A5" s="69" t="s">
        <v>75</v>
      </c>
      <c r="B5" s="65">
        <f>data!B13</f>
        <v>3.4</v>
      </c>
      <c r="C5" s="65">
        <f>data!C13</f>
        <v>3.25</v>
      </c>
      <c r="D5" s="70">
        <f>(B5+C5)/2</f>
        <v>3.325</v>
      </c>
      <c r="E5" s="77">
        <f>D5+(G2*G4/(data!B5-G4))</f>
        <v>3.1199478623566215</v>
      </c>
      <c r="F5" s="82" t="s">
        <v>23</v>
      </c>
      <c r="G5" s="85">
        <v>-0.9</v>
      </c>
      <c r="H5" s="89" t="s">
        <v>39</v>
      </c>
      <c r="I5" s="90">
        <f>7.2*(I6-I7)/data!F4</f>
        <v>0.4799999999997619</v>
      </c>
    </row>
    <row r="6" spans="1:9" ht="12.75">
      <c r="A6" s="327" t="s">
        <v>77</v>
      </c>
      <c r="B6" s="72">
        <v>1</v>
      </c>
      <c r="C6" s="72">
        <v>2</v>
      </c>
      <c r="D6" s="72">
        <v>3</v>
      </c>
      <c r="E6" s="78">
        <v>4</v>
      </c>
      <c r="F6" s="82" t="s">
        <v>15</v>
      </c>
      <c r="G6" s="99">
        <f>VLOOKUP(D3,tabl!M4:N324,2)</f>
        <v>2.72</v>
      </c>
      <c r="H6" s="89" t="s">
        <v>87</v>
      </c>
      <c r="I6" s="90">
        <f>VLOOKUP(ROUND(I2+0.5,2),tabl!A4:L294,4)</f>
        <v>14.276999999999816</v>
      </c>
    </row>
    <row r="7" spans="1:9" ht="12.75">
      <c r="A7" s="328"/>
      <c r="B7" s="71">
        <f>(D3+D5)/2</f>
        <v>1.8575000000000002</v>
      </c>
      <c r="C7" s="71">
        <f>(D3+D5+6*D4)/8</f>
        <v>1.435625</v>
      </c>
      <c r="D7" s="71">
        <f>(D4+(D4+(D5+D3)/2)/2)/2</f>
        <v>1.435625</v>
      </c>
      <c r="E7" s="79">
        <f>((D3+D4)/2+(D5+D4)/2)/2</f>
        <v>1.57625</v>
      </c>
      <c r="F7" s="82" t="s">
        <v>83</v>
      </c>
      <c r="G7" s="85">
        <f>(I3*I4*G3*100)/data!B5</f>
        <v>-22.14270570424237</v>
      </c>
      <c r="H7" s="89" t="s">
        <v>88</v>
      </c>
      <c r="I7" s="90">
        <f>IF(I2&lt;1.6,(I3-(I6-I3)),VLOOKUP(ROUND(I2-0.5,2),tabl!A4:L294,4))</f>
        <v>13.177000000000362</v>
      </c>
    </row>
    <row r="8" spans="1:9" ht="13.5" thickBot="1">
      <c r="A8" s="73" t="s">
        <v>80</v>
      </c>
      <c r="B8" s="74">
        <f>(E3+E5)/2</f>
        <v>1.715009974430213</v>
      </c>
      <c r="C8" s="74">
        <f>(E3+E5+6*E4)/8</f>
        <v>1.4212637621201096</v>
      </c>
      <c r="D8" s="74">
        <f>(E4+(E4+(E5+E3)/2)/2)/2</f>
        <v>1.4212637621201096</v>
      </c>
      <c r="E8" s="80">
        <f>((E3+E4)/2+(E5+E4)/2)/2</f>
        <v>1.5191791662234775</v>
      </c>
      <c r="F8" s="83" t="s">
        <v>84</v>
      </c>
      <c r="G8" s="86">
        <f>(50*G3^2*I5)/data!B5</f>
        <v>1.8468776317474982</v>
      </c>
      <c r="H8" s="91" t="s">
        <v>89</v>
      </c>
      <c r="I8" s="92">
        <f>(VLOOKUP(ROUND(I2,2),tabl!A4:L294,2)+G7+G8)*data!F5</f>
        <v>1787.6370762256925</v>
      </c>
    </row>
    <row r="9" spans="1:9" ht="18.75" thickBot="1">
      <c r="A9" s="93" t="s">
        <v>82</v>
      </c>
      <c r="B9" s="94">
        <f>data!G14</f>
        <v>165.46</v>
      </c>
      <c r="C9" s="329" t="s">
        <v>90</v>
      </c>
      <c r="D9" s="330"/>
      <c r="E9" s="330"/>
      <c r="F9" s="330">
        <f>I8-data!D4-B9</f>
        <v>166.17707622569245</v>
      </c>
      <c r="G9" s="330"/>
      <c r="H9" s="330" t="s">
        <v>99</v>
      </c>
      <c r="I9" s="330"/>
    </row>
    <row r="10" spans="1:9" s="2" customFormat="1" ht="13.5" thickBot="1">
      <c r="A10" s="108"/>
      <c r="B10" s="108"/>
      <c r="C10" s="108"/>
      <c r="D10" s="108"/>
      <c r="E10" s="108"/>
      <c r="F10" s="108"/>
      <c r="G10" s="108"/>
      <c r="H10" s="108"/>
      <c r="I10" s="108"/>
    </row>
    <row r="11" spans="1:9" ht="13.5" thickBot="1">
      <c r="A11" s="325" t="s">
        <v>97</v>
      </c>
      <c r="B11" s="325"/>
      <c r="C11" s="325"/>
      <c r="D11" s="325"/>
      <c r="E11" s="325"/>
      <c r="F11" s="325"/>
      <c r="G11" s="325"/>
      <c r="H11" s="325"/>
      <c r="I11" s="325"/>
    </row>
    <row r="12" spans="1:11" ht="12.75">
      <c r="A12" s="66" t="s">
        <v>72</v>
      </c>
      <c r="B12" s="67" t="s">
        <v>12</v>
      </c>
      <c r="C12" s="67" t="s">
        <v>13</v>
      </c>
      <c r="D12" s="67" t="s">
        <v>81</v>
      </c>
      <c r="E12" s="75" t="s">
        <v>76</v>
      </c>
      <c r="F12" s="81" t="s">
        <v>78</v>
      </c>
      <c r="G12" s="84">
        <f>D13-D15</f>
        <v>-0.14500000000000002</v>
      </c>
      <c r="H12" s="87" t="s">
        <v>85</v>
      </c>
      <c r="I12" s="88">
        <f>C18</f>
        <v>3.127235267861242</v>
      </c>
      <c r="J12" t="s">
        <v>32</v>
      </c>
      <c r="K12">
        <f>data!B5-G14-G15</f>
        <v>96.8</v>
      </c>
    </row>
    <row r="13" spans="1:9" ht="12.75">
      <c r="A13" s="68" t="s">
        <v>74</v>
      </c>
      <c r="B13" s="323">
        <f>data!D9</f>
        <v>3.085</v>
      </c>
      <c r="C13" s="323"/>
      <c r="D13" s="65">
        <f>B13</f>
        <v>3.085</v>
      </c>
      <c r="E13" s="76">
        <f>D13+(Calc!G16*Calc!G12/(data!B5-G16))</f>
        <v>3.08492364402317</v>
      </c>
      <c r="F13" s="82" t="s">
        <v>79</v>
      </c>
      <c r="G13" s="85">
        <f>E13-E15</f>
        <v>-0.1349460118683834</v>
      </c>
      <c r="H13" s="89" t="s">
        <v>36</v>
      </c>
      <c r="I13" s="90">
        <f>VLOOKUP(ROUND(I12,2),tabl!A4:L294,4)</f>
        <v>15.511200000000372</v>
      </c>
    </row>
    <row r="14" spans="1:9" ht="12.75">
      <c r="A14" s="68" t="s">
        <v>73</v>
      </c>
      <c r="B14" s="65">
        <f>data!D11</f>
        <v>3.14</v>
      </c>
      <c r="C14" s="65">
        <f>data!E11</f>
        <v>3.095</v>
      </c>
      <c r="D14" s="65">
        <f>(B14+C14)/2</f>
        <v>3.1175</v>
      </c>
      <c r="E14" s="76">
        <f>D14+(G15*G12/K12)</f>
        <v>3.118848140495868</v>
      </c>
      <c r="F14" s="82" t="s">
        <v>19</v>
      </c>
      <c r="G14" s="85">
        <v>6.7</v>
      </c>
      <c r="H14" s="89" t="s">
        <v>17</v>
      </c>
      <c r="I14" s="90">
        <f>VLOOKUP(ROUND(I12,2),tabl!A4:L294,8)</f>
        <v>-2.229</v>
      </c>
    </row>
    <row r="15" spans="1:9" ht="13.5" thickBot="1">
      <c r="A15" s="69" t="s">
        <v>75</v>
      </c>
      <c r="B15" s="65">
        <f>data!D13</f>
        <v>3.235</v>
      </c>
      <c r="C15" s="65">
        <f>data!E13</f>
        <v>3.225</v>
      </c>
      <c r="D15" s="70">
        <f>(B15+C15)/2</f>
        <v>3.23</v>
      </c>
      <c r="E15" s="77">
        <f>D15+(G12*G14/(data!B5-G14))</f>
        <v>3.2198696558915536</v>
      </c>
      <c r="F15" s="82" t="s">
        <v>23</v>
      </c>
      <c r="G15" s="85">
        <v>-0.9</v>
      </c>
      <c r="H15" s="89" t="s">
        <v>39</v>
      </c>
      <c r="I15" s="90">
        <f>7.2*(I16-I17)/data!F4</f>
        <v>0.24034909090918188</v>
      </c>
    </row>
    <row r="16" spans="1:9" ht="12.75">
      <c r="A16" s="327" t="s">
        <v>77</v>
      </c>
      <c r="B16" s="72">
        <v>1</v>
      </c>
      <c r="C16" s="72">
        <v>2</v>
      </c>
      <c r="D16" s="72">
        <v>3</v>
      </c>
      <c r="E16" s="78">
        <v>4</v>
      </c>
      <c r="F16" s="82" t="s">
        <v>15</v>
      </c>
      <c r="G16" s="99">
        <f>VLOOKUP(D13,tabl!M4:N324,2)</f>
        <v>0.054</v>
      </c>
      <c r="H16" s="89" t="s">
        <v>87</v>
      </c>
      <c r="I16" s="90">
        <f>VLOOKUP(ROUND(I12+0.5,2),tabl!A4:L294,4)</f>
        <v>15.631200000000263</v>
      </c>
    </row>
    <row r="17" spans="1:9" ht="12.75">
      <c r="A17" s="328"/>
      <c r="B17" s="71">
        <f>(D13+D15)/2</f>
        <v>3.1574999999999998</v>
      </c>
      <c r="C17" s="71">
        <f>(D13+D15+6*D14)/8</f>
        <v>3.1275000000000004</v>
      </c>
      <c r="D17" s="71">
        <f>(D14+(D14+(D15+D13)/2)/2)/2</f>
        <v>3.1275000000000004</v>
      </c>
      <c r="E17" s="79">
        <f>((D13+D14)/2+(D15+D14)/2)/2</f>
        <v>3.1375</v>
      </c>
      <c r="F17" s="82" t="s">
        <v>83</v>
      </c>
      <c r="G17" s="85">
        <f>(I13*I14*G13*100)/data!B5</f>
        <v>4.5474523754814005</v>
      </c>
      <c r="H17" s="89" t="s">
        <v>88</v>
      </c>
      <c r="I17" s="90">
        <f>IF(I12&lt;1.6,(I13-(I16-I13)),VLOOKUP(ROUND(I12-0.5,2),tabl!A4:L294,4))</f>
        <v>15.080400000000054</v>
      </c>
    </row>
    <row r="18" spans="1:9" ht="13.5" thickBot="1">
      <c r="A18" s="73" t="s">
        <v>80</v>
      </c>
      <c r="B18" s="74">
        <f>(E13+E15)/2</f>
        <v>3.152396649957362</v>
      </c>
      <c r="C18" s="74">
        <f>(E13+E15+6*E14)/8</f>
        <v>3.127235267861242</v>
      </c>
      <c r="D18" s="74">
        <f>(E14+(E14+(E15+E13)/2)/2)/2</f>
        <v>3.1272352678612414</v>
      </c>
      <c r="E18" s="80">
        <f>((E13+E14)/2+(E15+E14)/2)/2</f>
        <v>3.1356223952266147</v>
      </c>
      <c r="F18" s="83" t="s">
        <v>84</v>
      </c>
      <c r="G18" s="86">
        <f>(50*G13^2*I15)/data!B5</f>
        <v>0.002132972399032254</v>
      </c>
      <c r="H18" s="91" t="s">
        <v>89</v>
      </c>
      <c r="I18" s="92">
        <f>(VLOOKUP(ROUND(I12,2),tabl!A4:L294,2)+G17+G18)*data!F5</f>
        <v>4385.967194981576</v>
      </c>
    </row>
    <row r="19" spans="1:9" ht="18.75" thickBot="1">
      <c r="A19" s="93" t="s">
        <v>82</v>
      </c>
      <c r="B19" s="94">
        <f>data!H14</f>
        <v>139.1</v>
      </c>
      <c r="C19" s="329" t="str">
        <f>IF(E19&gt;0,"Погружено:","Выгружено:")</f>
        <v>Погружено:</v>
      </c>
      <c r="D19" s="330"/>
      <c r="E19" s="330">
        <f>I18-data!D4-B19-F9</f>
        <v>2624.6901187558833</v>
      </c>
      <c r="F19" s="330"/>
      <c r="G19" s="330" t="s">
        <v>99</v>
      </c>
      <c r="H19" s="330"/>
      <c r="I19" s="109" t="s">
        <v>100</v>
      </c>
    </row>
    <row r="20" ht="13.5" thickBot="1"/>
    <row r="21" spans="1:9" ht="12.75">
      <c r="A21" s="324" t="s">
        <v>103</v>
      </c>
      <c r="B21" s="325"/>
      <c r="C21" s="325"/>
      <c r="D21" s="325"/>
      <c r="E21" s="325"/>
      <c r="F21" s="325"/>
      <c r="G21" s="325"/>
      <c r="H21" s="325"/>
      <c r="I21" s="326"/>
    </row>
    <row r="22" spans="1:9" ht="12.75">
      <c r="A22" s="282" t="s">
        <v>104</v>
      </c>
      <c r="B22" s="283">
        <f>0.08*data!F4^2/I12</f>
        <v>6.964618308009693</v>
      </c>
      <c r="C22" s="318" t="s">
        <v>226</v>
      </c>
      <c r="D22" s="318"/>
      <c r="E22" s="318"/>
      <c r="F22" s="318"/>
      <c r="G22" s="318"/>
      <c r="H22" s="278"/>
      <c r="I22" s="279"/>
    </row>
    <row r="23" spans="1:9" ht="12.75">
      <c r="A23" s="282" t="s">
        <v>105</v>
      </c>
      <c r="B23" s="283">
        <f>100*I13/data!F5</f>
        <v>1513.2878048780851</v>
      </c>
      <c r="C23" s="318" t="s">
        <v>227</v>
      </c>
      <c r="D23" s="318"/>
      <c r="E23" s="318"/>
      <c r="F23" s="318"/>
      <c r="G23" s="318"/>
      <c r="H23" s="278"/>
      <c r="I23" s="279"/>
    </row>
    <row r="24" spans="1:9" ht="12.75">
      <c r="A24" s="282" t="s">
        <v>228</v>
      </c>
      <c r="B24" s="283">
        <f>1/3*(I12/2+Calc!I18*data!F5/B23)</f>
        <v>1.5114595407554694</v>
      </c>
      <c r="C24" s="318" t="s">
        <v>229</v>
      </c>
      <c r="D24" s="318"/>
      <c r="E24" s="318"/>
      <c r="F24" s="318"/>
      <c r="G24" s="318"/>
      <c r="H24" s="278"/>
      <c r="I24" s="279"/>
    </row>
    <row r="25" spans="1:9" ht="12.75">
      <c r="A25" s="282" t="s">
        <v>230</v>
      </c>
      <c r="B25" s="283">
        <f>I12-B24</f>
        <v>1.6157757271057724</v>
      </c>
      <c r="C25" s="318" t="s">
        <v>231</v>
      </c>
      <c r="D25" s="318"/>
      <c r="E25" s="318"/>
      <c r="F25" s="318"/>
      <c r="G25" s="318"/>
      <c r="H25" s="278"/>
      <c r="I25" s="279"/>
    </row>
    <row r="26" spans="1:9" ht="12.75">
      <c r="A26" s="282" t="s">
        <v>232</v>
      </c>
      <c r="B26" s="283">
        <f>B22+B25</f>
        <v>8.580394035115466</v>
      </c>
      <c r="C26" s="318" t="s">
        <v>233</v>
      </c>
      <c r="D26" s="318"/>
      <c r="E26" s="318"/>
      <c r="F26" s="318"/>
      <c r="G26" s="318"/>
      <c r="H26" s="278"/>
      <c r="I26" s="279"/>
    </row>
    <row r="27" spans="1:9" ht="12.75">
      <c r="A27" s="282" t="s">
        <v>234</v>
      </c>
      <c r="B27" s="283">
        <f>tabl!V24/I18</f>
        <v>3.722329482692034</v>
      </c>
      <c r="C27" s="318" t="s">
        <v>235</v>
      </c>
      <c r="D27" s="318"/>
      <c r="E27" s="318"/>
      <c r="F27" s="318"/>
      <c r="G27" s="318"/>
      <c r="H27" s="278"/>
      <c r="I27" s="279"/>
    </row>
    <row r="28" spans="1:9" ht="13.5" thickBot="1">
      <c r="A28" s="284" t="s">
        <v>236</v>
      </c>
      <c r="B28" s="285">
        <f>B26-B27</f>
        <v>4.858064552423432</v>
      </c>
      <c r="C28" s="319" t="s">
        <v>239</v>
      </c>
      <c r="D28" s="319"/>
      <c r="E28" s="319"/>
      <c r="F28" s="319"/>
      <c r="G28" s="319"/>
      <c r="H28" s="280"/>
      <c r="I28" s="281"/>
    </row>
    <row r="29" spans="1:7" ht="15.75">
      <c r="A29" t="s">
        <v>237</v>
      </c>
      <c r="B29">
        <f>ROUND(0.8*16.5/SQRT(B28),1)</f>
        <v>6</v>
      </c>
      <c r="C29" s="295" t="s">
        <v>238</v>
      </c>
      <c r="D29" s="295"/>
      <c r="E29" s="295"/>
      <c r="F29" s="295"/>
      <c r="G29" s="295"/>
    </row>
    <row r="30" spans="1:9" ht="12.75">
      <c r="A30" t="s">
        <v>245</v>
      </c>
      <c r="B30">
        <f>I18/(40*I13)</f>
        <v>7.069032690864457</v>
      </c>
      <c r="C30" s="322" t="s">
        <v>246</v>
      </c>
      <c r="D30" s="322"/>
      <c r="E30" s="322"/>
      <c r="F30" s="322"/>
      <c r="G30" s="322"/>
      <c r="H30" s="322"/>
      <c r="I30" s="322"/>
    </row>
    <row r="31" spans="1:9" ht="12.75">
      <c r="A31" s="320" t="s">
        <v>240</v>
      </c>
      <c r="B31" s="320"/>
      <c r="C31" s="320"/>
      <c r="D31" s="320"/>
      <c r="E31" s="320"/>
      <c r="F31" s="320"/>
      <c r="G31" s="320"/>
      <c r="H31" s="320"/>
      <c r="I31" s="320"/>
    </row>
    <row r="32" spans="2:9" s="278" customFormat="1" ht="12.75">
      <c r="B32" s="278">
        <v>10</v>
      </c>
      <c r="C32" s="278">
        <v>20</v>
      </c>
      <c r="D32" s="278">
        <v>30</v>
      </c>
      <c r="E32" s="278">
        <v>40</v>
      </c>
      <c r="F32" s="278">
        <v>50</v>
      </c>
      <c r="G32" s="278">
        <v>60</v>
      </c>
      <c r="H32" s="278">
        <v>70</v>
      </c>
      <c r="I32" s="278">
        <v>80</v>
      </c>
    </row>
    <row r="33" spans="1:8" ht="12.75" hidden="1">
      <c r="A33" s="5" t="s">
        <v>14</v>
      </c>
      <c r="B33" s="6">
        <v>71.2</v>
      </c>
      <c r="C33" s="7" t="s">
        <v>15</v>
      </c>
      <c r="D33" s="6">
        <v>-2.7</v>
      </c>
      <c r="E33" s="8" t="s">
        <v>16</v>
      </c>
      <c r="F33" s="6"/>
      <c r="G33" s="9" t="s">
        <v>17</v>
      </c>
      <c r="H33" s="6">
        <v>0.695</v>
      </c>
    </row>
    <row r="34" spans="1:8" ht="12.75" hidden="1">
      <c r="A34" s="5" t="s">
        <v>18</v>
      </c>
      <c r="B34" s="6">
        <v>3.8</v>
      </c>
      <c r="C34" s="7" t="s">
        <v>19</v>
      </c>
      <c r="D34" s="6">
        <v>6.7</v>
      </c>
      <c r="E34" s="8" t="s">
        <v>20</v>
      </c>
      <c r="F34" s="6"/>
      <c r="G34" s="9" t="s">
        <v>21</v>
      </c>
      <c r="H34" s="6"/>
    </row>
    <row r="35" spans="1:8" ht="12.75" hidden="1">
      <c r="A35" s="5" t="s">
        <v>22</v>
      </c>
      <c r="B35" s="6">
        <v>54</v>
      </c>
      <c r="C35" s="7" t="s">
        <v>23</v>
      </c>
      <c r="D35" s="6">
        <v>-0.9</v>
      </c>
      <c r="E35" s="8" t="s">
        <v>24</v>
      </c>
      <c r="F35" s="6"/>
      <c r="G35" s="9" t="s">
        <v>25</v>
      </c>
      <c r="H35" s="6"/>
    </row>
    <row r="36" spans="1:8" ht="12.75" hidden="1">
      <c r="A36" s="5" t="s">
        <v>26</v>
      </c>
      <c r="B36" s="6">
        <v>10</v>
      </c>
      <c r="C36" s="7" t="s">
        <v>27</v>
      </c>
      <c r="D36" s="6">
        <f>D42-D46</f>
        <v>-1.9000000000000001</v>
      </c>
      <c r="E36" s="8" t="s">
        <v>28</v>
      </c>
      <c r="F36" s="6"/>
      <c r="G36" s="9" t="s">
        <v>29</v>
      </c>
      <c r="H36" s="6">
        <v>1.025</v>
      </c>
    </row>
    <row r="37" spans="1:8" ht="12.75" hidden="1">
      <c r="A37" s="5" t="s">
        <v>30</v>
      </c>
      <c r="B37" s="6">
        <v>5</v>
      </c>
      <c r="C37" s="7" t="s">
        <v>31</v>
      </c>
      <c r="D37" s="6"/>
      <c r="E37" s="8" t="s">
        <v>32</v>
      </c>
      <c r="F37" s="6">
        <f>H38-D33-D34</f>
        <v>98.6</v>
      </c>
      <c r="G37" s="9" t="s">
        <v>33</v>
      </c>
      <c r="H37" s="6"/>
    </row>
    <row r="38" spans="1:8" ht="12.75" hidden="1">
      <c r="A38" s="5" t="s">
        <v>34</v>
      </c>
      <c r="B38" s="6">
        <v>10</v>
      </c>
      <c r="C38" s="7" t="s">
        <v>35</v>
      </c>
      <c r="D38" s="6"/>
      <c r="E38" s="8" t="s">
        <v>36</v>
      </c>
      <c r="F38" s="6">
        <v>13.57</v>
      </c>
      <c r="G38" s="9" t="s">
        <v>2</v>
      </c>
      <c r="H38" s="6">
        <v>102.6</v>
      </c>
    </row>
    <row r="39" spans="1:8" ht="12.75" hidden="1">
      <c r="A39" s="10" t="s">
        <v>37</v>
      </c>
      <c r="B39" s="11">
        <f>SUM(B33:B38)</f>
        <v>154</v>
      </c>
      <c r="C39" s="12" t="s">
        <v>38</v>
      </c>
      <c r="D39" s="11">
        <f>F42-F46</f>
        <v>-1.7188640973630833</v>
      </c>
      <c r="E39" s="13" t="s">
        <v>39</v>
      </c>
      <c r="F39" s="11">
        <v>14.801</v>
      </c>
      <c r="G39" s="14"/>
      <c r="H39" s="11"/>
    </row>
    <row r="40" spans="2:8" ht="12.75" hidden="1">
      <c r="B40" s="15"/>
      <c r="C40" s="16"/>
      <c r="D40" s="15"/>
      <c r="E40" s="16"/>
      <c r="F40" s="15"/>
      <c r="G40" s="16"/>
      <c r="H40" s="15"/>
    </row>
    <row r="41" spans="1:8" ht="12.75" hidden="1">
      <c r="A41" s="17" t="s">
        <v>40</v>
      </c>
      <c r="B41" s="18" t="s">
        <v>12</v>
      </c>
      <c r="C41" s="19" t="s">
        <v>13</v>
      </c>
      <c r="D41" s="18" t="s">
        <v>41</v>
      </c>
      <c r="E41" s="19" t="s">
        <v>42</v>
      </c>
      <c r="F41" s="18" t="s">
        <v>43</v>
      </c>
      <c r="G41" s="20" t="s">
        <v>44</v>
      </c>
      <c r="H41" s="6">
        <f>F38*H33*D39*100/H38</f>
        <v>-15.80006348133123</v>
      </c>
    </row>
    <row r="42" spans="1:8" ht="12.75" hidden="1">
      <c r="A42" s="17" t="s">
        <v>45</v>
      </c>
      <c r="B42" s="321">
        <v>0.41</v>
      </c>
      <c r="C42" s="321"/>
      <c r="D42" s="6">
        <f>B42</f>
        <v>0.41</v>
      </c>
      <c r="E42" s="21">
        <f>D33*D36/F37</f>
        <v>0.05202839756592293</v>
      </c>
      <c r="F42" s="6">
        <f>D42+E42</f>
        <v>0.4620283975659229</v>
      </c>
      <c r="G42" s="20" t="s">
        <v>46</v>
      </c>
      <c r="H42" s="6">
        <f>50*D39*D39*F39/H38</f>
        <v>21.310654246979315</v>
      </c>
    </row>
    <row r="43" spans="1:8" ht="12.75" hidden="1">
      <c r="A43" s="17" t="s">
        <v>47</v>
      </c>
      <c r="B43" s="6">
        <v>0.82</v>
      </c>
      <c r="C43" s="21">
        <v>0.81</v>
      </c>
      <c r="D43" s="6">
        <f>B43*0.5+C43*0.5</f>
        <v>0.815</v>
      </c>
      <c r="E43" s="21">
        <f>22.4*D36/F37</f>
        <v>-0.4316430020283976</v>
      </c>
      <c r="F43" s="6">
        <f>D43+E43</f>
        <v>0.38335699797160233</v>
      </c>
      <c r="G43" s="20" t="s">
        <v>48</v>
      </c>
      <c r="H43" s="6">
        <f>H41+H42</f>
        <v>5.510590765648084</v>
      </c>
    </row>
    <row r="44" spans="1:8" ht="12.75" hidden="1">
      <c r="A44" s="17" t="s">
        <v>49</v>
      </c>
      <c r="B44" s="6">
        <v>1.34</v>
      </c>
      <c r="C44" s="21">
        <v>1.275</v>
      </c>
      <c r="D44" s="6">
        <f>B44*0.5+C44*0.5</f>
        <v>1.3075</v>
      </c>
      <c r="E44" s="21">
        <f>0.9*D36/F37</f>
        <v>-0.017342799188640977</v>
      </c>
      <c r="F44" s="6">
        <f>D44+E44</f>
        <v>1.290157200811359</v>
      </c>
      <c r="G44" s="16"/>
      <c r="H44" s="15"/>
    </row>
    <row r="45" spans="1:8" ht="12.75" hidden="1">
      <c r="A45" s="17" t="s">
        <v>50</v>
      </c>
      <c r="B45" s="6">
        <v>1.985</v>
      </c>
      <c r="C45" s="21">
        <v>1.98</v>
      </c>
      <c r="D45" s="6">
        <f>B45*0.5+C45*0.5</f>
        <v>1.9825</v>
      </c>
      <c r="E45" s="21">
        <f>21.5*D36/F37</f>
        <v>-0.4143002028397566</v>
      </c>
      <c r="F45" s="6">
        <f>D45+E45</f>
        <v>1.5681997971602433</v>
      </c>
      <c r="G45" s="16"/>
      <c r="H45" s="15"/>
    </row>
    <row r="46" spans="1:8" ht="12.75" hidden="1">
      <c r="A46" s="22" t="s">
        <v>51</v>
      </c>
      <c r="B46" s="11">
        <v>2.31</v>
      </c>
      <c r="C46" s="23">
        <v>2.31</v>
      </c>
      <c r="D46" s="6">
        <f>B46*0.5+C46*0.5</f>
        <v>2.31</v>
      </c>
      <c r="E46" s="23">
        <f>6.7*D36/F37</f>
        <v>-0.12910750507099392</v>
      </c>
      <c r="F46" s="11">
        <f>E46+D46</f>
        <v>2.1808924949290063</v>
      </c>
      <c r="G46" s="14"/>
      <c r="H46" s="24"/>
    </row>
    <row r="47" spans="1:8" ht="12.75" hidden="1">
      <c r="A47" s="17" t="s">
        <v>41</v>
      </c>
      <c r="C47" s="25" t="s">
        <v>52</v>
      </c>
      <c r="D47" s="43">
        <f>(6*D44+D42+D46)/8</f>
        <v>1.3206250000000002</v>
      </c>
      <c r="E47" s="26" t="s">
        <v>53</v>
      </c>
      <c r="F47" s="43">
        <f>(6*F44+F42+F46)/8</f>
        <v>1.2979830121703855</v>
      </c>
      <c r="H47" s="27"/>
    </row>
    <row r="48" spans="4:8" ht="12.75" hidden="1">
      <c r="D48" s="27"/>
      <c r="F48" s="27"/>
      <c r="H48" s="27"/>
    </row>
    <row r="49" spans="1:8" ht="63.75" hidden="1">
      <c r="A49" s="28" t="s">
        <v>54</v>
      </c>
      <c r="B49" s="29">
        <f>1659.213302716+H43</f>
        <v>1664.723893481648</v>
      </c>
      <c r="D49" s="27"/>
      <c r="F49" s="27"/>
      <c r="H49" s="27"/>
    </row>
    <row r="50" ht="12.75">
      <c r="A50" t="s">
        <v>241</v>
      </c>
    </row>
    <row r="51" ht="12.75">
      <c r="A51" t="s">
        <v>242</v>
      </c>
    </row>
    <row r="52" ht="12.75">
      <c r="A52" t="s">
        <v>244</v>
      </c>
    </row>
    <row r="53" ht="12.75">
      <c r="A53" t="s">
        <v>243</v>
      </c>
    </row>
  </sheetData>
  <mergeCells count="24">
    <mergeCell ref="C26:G26"/>
    <mergeCell ref="B3:C3"/>
    <mergeCell ref="A6:A7"/>
    <mergeCell ref="A1:I1"/>
    <mergeCell ref="A11:I11"/>
    <mergeCell ref="F9:G9"/>
    <mergeCell ref="H9:I9"/>
    <mergeCell ref="C9:E9"/>
    <mergeCell ref="C22:G22"/>
    <mergeCell ref="C23:G23"/>
    <mergeCell ref="C24:G24"/>
    <mergeCell ref="C25:G25"/>
    <mergeCell ref="B13:C13"/>
    <mergeCell ref="A21:I21"/>
    <mergeCell ref="A16:A17"/>
    <mergeCell ref="C19:D19"/>
    <mergeCell ref="E19:F19"/>
    <mergeCell ref="G19:H19"/>
    <mergeCell ref="C27:G27"/>
    <mergeCell ref="C28:G28"/>
    <mergeCell ref="A31:I31"/>
    <mergeCell ref="B42:C42"/>
    <mergeCell ref="C29:G29"/>
    <mergeCell ref="C30:I30"/>
  </mergeCells>
  <conditionalFormatting sqref="B9 B19 F9 H9">
    <cfRule type="cellIs" priority="1" dxfId="1" operator="equal" stopIfTrue="1">
      <formula>0</formula>
    </cfRule>
  </conditionalFormatting>
  <conditionalFormatting sqref="I2:I8 G2:G8 B7:E8 B3:E5 I12:I18 G12:G18 B17:E18 B13:E15">
    <cfRule type="cellIs" priority="2" dxfId="0" operator="equal" stopIfTrue="1">
      <formula>0</formula>
    </cfRule>
  </conditionalFormatting>
  <printOptions/>
  <pageMargins left="0.75" right="0.75" top="1" bottom="1" header="0.5" footer="0.5"/>
  <pageSetup horizontalDpi="120" verticalDpi="12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D324"/>
  <sheetViews>
    <sheetView workbookViewId="0" topLeftCell="A277">
      <selection activeCell="U25" sqref="U25"/>
    </sheetView>
  </sheetViews>
  <sheetFormatPr defaultColWidth="9.00390625" defaultRowHeight="12.75"/>
  <cols>
    <col min="1" max="1" width="7.125" style="125" customWidth="1"/>
    <col min="2" max="2" width="8.125" style="44" customWidth="1"/>
    <col min="3" max="3" width="8.375" style="44" customWidth="1"/>
    <col min="4" max="4" width="8.00390625" style="44" customWidth="1"/>
    <col min="5" max="7" width="0" style="44" hidden="1" customWidth="1"/>
    <col min="8" max="8" width="9.125" style="44" customWidth="1"/>
    <col min="9" max="9" width="8.625" style="44" customWidth="1"/>
    <col min="10" max="10" width="9.875" style="44" customWidth="1"/>
    <col min="11" max="11" width="9.125" style="49" customWidth="1"/>
    <col min="12" max="12" width="11.125" style="44" customWidth="1"/>
    <col min="13" max="13" width="6.625" style="44" customWidth="1"/>
    <col min="14" max="14" width="7.00390625" style="44" customWidth="1"/>
    <col min="15" max="15" width="2.375" style="44" customWidth="1"/>
    <col min="16" max="16" width="4.25390625" style="44" customWidth="1"/>
    <col min="17" max="17" width="9.125" style="44" customWidth="1"/>
    <col min="18" max="18" width="15.25390625" style="263" customWidth="1"/>
    <col min="19" max="19" width="13.625" style="263" customWidth="1"/>
    <col min="20" max="25" width="9.125" style="263" customWidth="1"/>
    <col min="26" max="26" width="9.625" style="263" bestFit="1" customWidth="1"/>
    <col min="27" max="28" width="9.125" style="263" customWidth="1"/>
    <col min="29" max="29" width="15.375" style="44" customWidth="1"/>
    <col min="30" max="16384" width="9.125" style="44" customWidth="1"/>
  </cols>
  <sheetData>
    <row r="1" spans="1:28" s="49" customFormat="1" ht="21" thickBot="1">
      <c r="A1" s="343" t="s">
        <v>70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104"/>
      <c r="R1" s="332" t="s">
        <v>196</v>
      </c>
      <c r="S1" s="332"/>
      <c r="T1" s="332"/>
      <c r="U1" s="332"/>
      <c r="V1" s="332"/>
      <c r="W1" s="332"/>
      <c r="X1" s="332"/>
      <c r="Y1" s="332"/>
      <c r="Z1" s="332"/>
      <c r="AA1" s="332"/>
      <c r="AB1" s="332"/>
    </row>
    <row r="2" spans="1:30" s="63" customFormat="1" ht="12.75">
      <c r="A2" s="344" t="s">
        <v>63</v>
      </c>
      <c r="B2" s="346" t="s">
        <v>64</v>
      </c>
      <c r="C2" s="346"/>
      <c r="D2" s="347" t="s">
        <v>65</v>
      </c>
      <c r="E2" s="346"/>
      <c r="F2" s="346"/>
      <c r="G2" s="346"/>
      <c r="H2" s="346" t="s">
        <v>66</v>
      </c>
      <c r="I2" s="346" t="s">
        <v>67</v>
      </c>
      <c r="J2" s="346" t="s">
        <v>68</v>
      </c>
      <c r="K2" s="346" t="s">
        <v>61</v>
      </c>
      <c r="L2" s="354" t="s">
        <v>62</v>
      </c>
      <c r="M2" s="350" t="s">
        <v>91</v>
      </c>
      <c r="N2" s="352" t="s">
        <v>15</v>
      </c>
      <c r="O2" s="100"/>
      <c r="P2" s="359" t="s">
        <v>71</v>
      </c>
      <c r="R2" s="337"/>
      <c r="S2" s="340" t="s">
        <v>199</v>
      </c>
      <c r="T2" s="339" t="s">
        <v>200</v>
      </c>
      <c r="U2" s="339" t="s">
        <v>201</v>
      </c>
      <c r="V2" s="339" t="s">
        <v>202</v>
      </c>
      <c r="W2" s="339" t="s">
        <v>203</v>
      </c>
      <c r="X2" s="340" t="s">
        <v>215</v>
      </c>
      <c r="Y2" s="356" t="s">
        <v>216</v>
      </c>
      <c r="Z2" s="358" t="s">
        <v>222</v>
      </c>
      <c r="AA2" s="339" t="s">
        <v>204</v>
      </c>
      <c r="AB2" s="339"/>
      <c r="AC2" s="333" t="s">
        <v>223</v>
      </c>
      <c r="AD2" s="335" t="s">
        <v>224</v>
      </c>
    </row>
    <row r="3" spans="1:30" s="63" customFormat="1" ht="12.75">
      <c r="A3" s="345"/>
      <c r="B3" s="64" t="s">
        <v>69</v>
      </c>
      <c r="C3" s="64">
        <v>1.025</v>
      </c>
      <c r="D3" s="348"/>
      <c r="E3" s="349"/>
      <c r="F3" s="349"/>
      <c r="G3" s="349"/>
      <c r="H3" s="349"/>
      <c r="I3" s="349"/>
      <c r="J3" s="349"/>
      <c r="K3" s="349"/>
      <c r="L3" s="355"/>
      <c r="M3" s="351"/>
      <c r="N3" s="353"/>
      <c r="O3" s="101"/>
      <c r="P3" s="360"/>
      <c r="R3" s="338"/>
      <c r="S3" s="341"/>
      <c r="T3" s="342"/>
      <c r="U3" s="342"/>
      <c r="V3" s="342"/>
      <c r="W3" s="342"/>
      <c r="X3" s="341"/>
      <c r="Y3" s="357"/>
      <c r="Z3" s="334"/>
      <c r="AA3" s="265" t="s">
        <v>205</v>
      </c>
      <c r="AB3" s="265" t="s">
        <v>206</v>
      </c>
      <c r="AC3" s="334"/>
      <c r="AD3" s="336"/>
    </row>
    <row r="4" spans="1:30" s="45" customFormat="1" ht="17.25" customHeight="1">
      <c r="A4" s="46">
        <v>1.1</v>
      </c>
      <c r="B4" s="51">
        <f aca="true" t="shared" si="0" ref="B4:B67">E4*A4^2+F4*A4+G4</f>
        <v>1330.7</v>
      </c>
      <c r="C4" s="52">
        <f>B4*1.025</f>
        <v>1363.9675</v>
      </c>
      <c r="D4" s="53">
        <f>B5-B4</f>
        <v>13.380499999999984</v>
      </c>
      <c r="E4" s="52">
        <v>55</v>
      </c>
      <c r="F4" s="52">
        <v>1216.5</v>
      </c>
      <c r="G4" s="52">
        <v>-74</v>
      </c>
      <c r="H4" s="52">
        <v>0.84</v>
      </c>
      <c r="I4" s="52">
        <v>1.13</v>
      </c>
      <c r="J4" s="52">
        <v>0.574</v>
      </c>
      <c r="K4" s="52">
        <v>21.184</v>
      </c>
      <c r="L4" s="54">
        <v>27.214</v>
      </c>
      <c r="M4" s="95">
        <v>0.3</v>
      </c>
      <c r="N4" s="96">
        <v>2.9</v>
      </c>
      <c r="O4" s="102"/>
      <c r="P4" s="360"/>
      <c r="R4" s="269" t="s">
        <v>207</v>
      </c>
      <c r="S4" s="265" t="s">
        <v>209</v>
      </c>
      <c r="T4" s="265" t="s">
        <v>210</v>
      </c>
      <c r="U4" s="265" t="s">
        <v>211</v>
      </c>
      <c r="V4" s="265">
        <f>S4*T4</f>
        <v>6144.32</v>
      </c>
      <c r="W4" s="265">
        <f>S4*U4</f>
        <v>-11677.119999999999</v>
      </c>
      <c r="X4" s="268"/>
      <c r="Y4" s="265">
        <v>0</v>
      </c>
      <c r="Z4" s="268"/>
      <c r="AA4" s="265"/>
      <c r="AB4" s="265"/>
      <c r="AC4" s="268"/>
      <c r="AD4" s="270"/>
    </row>
    <row r="5" spans="1:30" ht="12.75">
      <c r="A5" s="47">
        <v>1.11</v>
      </c>
      <c r="B5" s="55">
        <f t="shared" si="0"/>
        <v>1344.0805</v>
      </c>
      <c r="C5" s="50">
        <f>B5*1.025</f>
        <v>1377.6825124999998</v>
      </c>
      <c r="D5" s="56">
        <f>(B6-B4)/2</f>
        <v>13.385999999999967</v>
      </c>
      <c r="E5" s="50">
        <f>E4</f>
        <v>55</v>
      </c>
      <c r="F5" s="50">
        <f aca="true" t="shared" si="1" ref="F5:G20">F4</f>
        <v>1216.5</v>
      </c>
      <c r="G5" s="50">
        <f t="shared" si="1"/>
        <v>-74</v>
      </c>
      <c r="H5" s="57">
        <v>0.833</v>
      </c>
      <c r="I5" s="57">
        <v>1.127</v>
      </c>
      <c r="J5" s="57">
        <v>0.5793</v>
      </c>
      <c r="K5" s="57">
        <v>21.0237</v>
      </c>
      <c r="L5" s="58">
        <v>27.2483</v>
      </c>
      <c r="M5" s="95">
        <v>0.31</v>
      </c>
      <c r="N5" s="96">
        <v>2.88</v>
      </c>
      <c r="O5" s="102"/>
      <c r="P5" s="360"/>
      <c r="R5" s="269" t="s">
        <v>197</v>
      </c>
      <c r="S5" s="265">
        <v>1360</v>
      </c>
      <c r="T5" s="265">
        <v>3.25</v>
      </c>
      <c r="U5" s="265">
        <v>23.28</v>
      </c>
      <c r="V5" s="265">
        <f>S5*T5</f>
        <v>4420</v>
      </c>
      <c r="W5" s="265">
        <f>S5*U5</f>
        <v>31660.800000000003</v>
      </c>
      <c r="X5" s="266">
        <f>S5*data!$H$19</f>
        <v>1496.0000000000002</v>
      </c>
      <c r="Y5" s="264">
        <v>1956</v>
      </c>
      <c r="Z5" s="265"/>
      <c r="AA5" s="265"/>
      <c r="AB5" s="265"/>
      <c r="AC5" s="265"/>
      <c r="AD5" s="271" t="str">
        <f>data!H19</f>
        <v>1,1</v>
      </c>
    </row>
    <row r="6" spans="1:30" ht="12.75">
      <c r="A6" s="47">
        <v>1.12</v>
      </c>
      <c r="B6" s="55">
        <f t="shared" si="0"/>
        <v>1357.472</v>
      </c>
      <c r="C6" s="50">
        <f aca="true" t="shared" si="2" ref="C6:C69">B6*1.025</f>
        <v>1391.4088</v>
      </c>
      <c r="D6" s="56">
        <f aca="true" t="shared" si="3" ref="D6:D69">(B7-B5)/2</f>
        <v>13.396999999999935</v>
      </c>
      <c r="E6" s="50">
        <f aca="true" t="shared" si="4" ref="E6:G69">E5</f>
        <v>55</v>
      </c>
      <c r="F6" s="50">
        <f t="shared" si="1"/>
        <v>1216.5</v>
      </c>
      <c r="G6" s="50">
        <f t="shared" si="1"/>
        <v>-74</v>
      </c>
      <c r="H6" s="57">
        <v>0.826</v>
      </c>
      <c r="I6" s="57">
        <v>1.124</v>
      </c>
      <c r="J6" s="57">
        <v>0.5846</v>
      </c>
      <c r="K6" s="57">
        <v>20.8634</v>
      </c>
      <c r="L6" s="58">
        <v>27.2826</v>
      </c>
      <c r="M6" s="95">
        <v>0.32</v>
      </c>
      <c r="N6" s="96">
        <v>2.86</v>
      </c>
      <c r="O6" s="102"/>
      <c r="P6" s="360"/>
      <c r="R6" s="269" t="s">
        <v>198</v>
      </c>
      <c r="S6" s="265">
        <v>1619</v>
      </c>
      <c r="T6" s="265">
        <v>3.39</v>
      </c>
      <c r="U6" s="265">
        <v>-10.22</v>
      </c>
      <c r="V6" s="265">
        <f aca="true" t="shared" si="5" ref="V6:V23">S6*T6</f>
        <v>5488.41</v>
      </c>
      <c r="W6" s="265">
        <f aca="true" t="shared" si="6" ref="W6:W23">S6*U6</f>
        <v>-16546.18</v>
      </c>
      <c r="X6" s="266">
        <f>S6*data!$H$19</f>
        <v>1780.9</v>
      </c>
      <c r="Y6" s="264">
        <v>2078</v>
      </c>
      <c r="Z6" s="265"/>
      <c r="AA6" s="267"/>
      <c r="AB6" s="265"/>
      <c r="AC6" s="265"/>
      <c r="AD6" s="271" t="str">
        <f>data!H19</f>
        <v>1,1</v>
      </c>
    </row>
    <row r="7" spans="1:30" ht="12.75">
      <c r="A7" s="47">
        <v>1.13</v>
      </c>
      <c r="B7" s="55">
        <f t="shared" si="0"/>
        <v>1370.8745</v>
      </c>
      <c r="C7" s="50">
        <f t="shared" si="2"/>
        <v>1405.1463624999997</v>
      </c>
      <c r="D7" s="56">
        <f t="shared" si="3"/>
        <v>13.408000000000015</v>
      </c>
      <c r="E7" s="50">
        <f t="shared" si="4"/>
        <v>55</v>
      </c>
      <c r="F7" s="50">
        <f t="shared" si="1"/>
        <v>1216.5</v>
      </c>
      <c r="G7" s="50">
        <f t="shared" si="1"/>
        <v>-74</v>
      </c>
      <c r="H7" s="57">
        <v>0.819</v>
      </c>
      <c r="I7" s="57">
        <v>1.121</v>
      </c>
      <c r="J7" s="57">
        <v>0.5899</v>
      </c>
      <c r="K7" s="57">
        <v>20.7031</v>
      </c>
      <c r="L7" s="58">
        <v>27.3169</v>
      </c>
      <c r="M7" s="95">
        <v>0.33</v>
      </c>
      <c r="N7" s="96">
        <v>2.84</v>
      </c>
      <c r="O7" s="102"/>
      <c r="P7" s="360"/>
      <c r="R7" s="269" t="s">
        <v>14</v>
      </c>
      <c r="S7" s="265">
        <f>data!H8</f>
        <v>89.5</v>
      </c>
      <c r="T7" s="265">
        <v>1.67</v>
      </c>
      <c r="U7" s="265">
        <v>22.7</v>
      </c>
      <c r="V7" s="265">
        <f t="shared" si="5"/>
        <v>149.465</v>
      </c>
      <c r="W7" s="265">
        <f t="shared" si="6"/>
        <v>2031.6499999999999</v>
      </c>
      <c r="X7" s="265">
        <f>S7</f>
        <v>89.5</v>
      </c>
      <c r="Y7" s="264">
        <v>188.2</v>
      </c>
      <c r="Z7" s="265">
        <f>Y7*AD7</f>
        <v>161.85199999999998</v>
      </c>
      <c r="AA7" s="265"/>
      <c r="AB7" s="265"/>
      <c r="AC7" s="265"/>
      <c r="AD7" s="271">
        <v>0.86</v>
      </c>
    </row>
    <row r="8" spans="1:30" ht="12.75">
      <c r="A8" s="47">
        <v>1.14</v>
      </c>
      <c r="B8" s="55">
        <f t="shared" si="0"/>
        <v>1384.288</v>
      </c>
      <c r="C8" s="50">
        <f t="shared" si="2"/>
        <v>1418.8952</v>
      </c>
      <c r="D8" s="56">
        <f t="shared" si="3"/>
        <v>13.418999999999983</v>
      </c>
      <c r="E8" s="50">
        <f t="shared" si="4"/>
        <v>55</v>
      </c>
      <c r="F8" s="50">
        <f t="shared" si="1"/>
        <v>1216.5</v>
      </c>
      <c r="G8" s="50">
        <f t="shared" si="1"/>
        <v>-74</v>
      </c>
      <c r="H8" s="57">
        <v>0.812</v>
      </c>
      <c r="I8" s="57">
        <v>1.118</v>
      </c>
      <c r="J8" s="57">
        <v>0.5952</v>
      </c>
      <c r="K8" s="57">
        <v>20.5428</v>
      </c>
      <c r="L8" s="58">
        <v>27.3512</v>
      </c>
      <c r="M8" s="95">
        <v>0.34</v>
      </c>
      <c r="N8" s="96">
        <v>2.82</v>
      </c>
      <c r="O8" s="102"/>
      <c r="P8" s="360"/>
      <c r="R8" s="269" t="s">
        <v>18</v>
      </c>
      <c r="S8" s="265">
        <f>data!H9</f>
        <v>2.2</v>
      </c>
      <c r="T8" s="265">
        <v>3.1</v>
      </c>
      <c r="U8" s="265">
        <v>22.5</v>
      </c>
      <c r="V8" s="265">
        <f t="shared" si="5"/>
        <v>6.820000000000001</v>
      </c>
      <c r="W8" s="265">
        <f t="shared" si="6"/>
        <v>49.50000000000001</v>
      </c>
      <c r="X8" s="265">
        <f aca="true" t="shared" si="7" ref="X8:X23">S8</f>
        <v>2.2</v>
      </c>
      <c r="Y8" s="264">
        <v>13.5</v>
      </c>
      <c r="Z8" s="265">
        <f>Y8*AD8</f>
        <v>12.15</v>
      </c>
      <c r="AA8" s="265"/>
      <c r="AB8" s="265"/>
      <c r="AC8" s="265"/>
      <c r="AD8" s="271">
        <v>0.9</v>
      </c>
    </row>
    <row r="9" spans="1:30" ht="12.75">
      <c r="A9" s="47">
        <v>1.15</v>
      </c>
      <c r="B9" s="55">
        <f t="shared" si="0"/>
        <v>1397.7124999999999</v>
      </c>
      <c r="C9" s="50">
        <f t="shared" si="2"/>
        <v>1432.6553124999998</v>
      </c>
      <c r="D9" s="56">
        <f t="shared" si="3"/>
        <v>13.42999999999995</v>
      </c>
      <c r="E9" s="50">
        <f t="shared" si="4"/>
        <v>55</v>
      </c>
      <c r="F9" s="50">
        <f t="shared" si="1"/>
        <v>1216.5</v>
      </c>
      <c r="G9" s="50">
        <f t="shared" si="1"/>
        <v>-74</v>
      </c>
      <c r="H9" s="57">
        <v>0.805</v>
      </c>
      <c r="I9" s="57">
        <v>1.115</v>
      </c>
      <c r="J9" s="57">
        <v>0.6005</v>
      </c>
      <c r="K9" s="57">
        <v>20.3825</v>
      </c>
      <c r="L9" s="58">
        <v>27.3855</v>
      </c>
      <c r="M9" s="95">
        <v>0.35</v>
      </c>
      <c r="N9" s="96">
        <v>2.8</v>
      </c>
      <c r="O9" s="102"/>
      <c r="P9" s="360"/>
      <c r="R9" s="269" t="s">
        <v>26</v>
      </c>
      <c r="S9" s="265">
        <f>data!H11</f>
        <v>0</v>
      </c>
      <c r="T9" s="265">
        <v>0.46</v>
      </c>
      <c r="U9" s="265">
        <v>58.08</v>
      </c>
      <c r="V9" s="265">
        <v>4.4</v>
      </c>
      <c r="W9" s="265">
        <v>-41.4</v>
      </c>
      <c r="X9" s="265">
        <f t="shared" si="7"/>
        <v>0</v>
      </c>
      <c r="Y9" s="264">
        <v>63.5</v>
      </c>
      <c r="Z9" s="268"/>
      <c r="AA9" s="265"/>
      <c r="AB9" s="265"/>
      <c r="AC9" s="265"/>
      <c r="AD9" s="271">
        <v>0.95</v>
      </c>
    </row>
    <row r="10" spans="1:30" ht="12.75">
      <c r="A10" s="47">
        <v>1.16</v>
      </c>
      <c r="B10" s="55">
        <f t="shared" si="0"/>
        <v>1411.148</v>
      </c>
      <c r="C10" s="50">
        <f t="shared" si="2"/>
        <v>1446.4266999999998</v>
      </c>
      <c r="D10" s="56">
        <f t="shared" si="3"/>
        <v>13.441000000000031</v>
      </c>
      <c r="E10" s="50">
        <f t="shared" si="4"/>
        <v>55</v>
      </c>
      <c r="F10" s="50">
        <f t="shared" si="1"/>
        <v>1216.5</v>
      </c>
      <c r="G10" s="50">
        <f t="shared" si="1"/>
        <v>-74</v>
      </c>
      <c r="H10" s="57">
        <v>0.798</v>
      </c>
      <c r="I10" s="57">
        <v>1.112</v>
      </c>
      <c r="J10" s="57">
        <v>0.6058</v>
      </c>
      <c r="K10" s="57">
        <v>20.2222</v>
      </c>
      <c r="L10" s="58">
        <v>27.4198</v>
      </c>
      <c r="M10" s="95">
        <v>0.36</v>
      </c>
      <c r="N10" s="96">
        <v>2.78</v>
      </c>
      <c r="O10" s="102"/>
      <c r="P10" s="360"/>
      <c r="R10" s="269" t="s">
        <v>213</v>
      </c>
      <c r="S10" s="265">
        <f>data!H10</f>
        <v>32</v>
      </c>
      <c r="T10" s="265">
        <v>2.3</v>
      </c>
      <c r="U10" s="265">
        <v>-41.5</v>
      </c>
      <c r="V10" s="265">
        <f t="shared" si="5"/>
        <v>73.6</v>
      </c>
      <c r="W10" s="265">
        <f t="shared" si="6"/>
        <v>-1328</v>
      </c>
      <c r="X10" s="265">
        <f t="shared" si="7"/>
        <v>32</v>
      </c>
      <c r="Y10" s="264">
        <v>156</v>
      </c>
      <c r="Z10" s="265">
        <v>159.9</v>
      </c>
      <c r="AA10" s="265"/>
      <c r="AB10" s="265"/>
      <c r="AC10" s="265"/>
      <c r="AD10" s="271">
        <v>1</v>
      </c>
    </row>
    <row r="11" spans="1:30" ht="12.75">
      <c r="A11" s="47">
        <v>1.17</v>
      </c>
      <c r="B11" s="55">
        <f t="shared" si="0"/>
        <v>1424.5945</v>
      </c>
      <c r="C11" s="50">
        <f t="shared" si="2"/>
        <v>1460.2093624999998</v>
      </c>
      <c r="D11" s="56">
        <f t="shared" si="3"/>
        <v>13.452000000000112</v>
      </c>
      <c r="E11" s="50">
        <f t="shared" si="4"/>
        <v>55</v>
      </c>
      <c r="F11" s="50">
        <f t="shared" si="1"/>
        <v>1216.5</v>
      </c>
      <c r="G11" s="50">
        <f t="shared" si="1"/>
        <v>-74</v>
      </c>
      <c r="H11" s="57">
        <v>0.791</v>
      </c>
      <c r="I11" s="57">
        <v>1.109</v>
      </c>
      <c r="J11" s="57">
        <v>0.6111</v>
      </c>
      <c r="K11" s="57">
        <v>20.0619</v>
      </c>
      <c r="L11" s="58">
        <v>27.4541</v>
      </c>
      <c r="M11" s="95">
        <v>0.37</v>
      </c>
      <c r="N11" s="96">
        <v>2.76</v>
      </c>
      <c r="O11" s="102"/>
      <c r="P11" s="360"/>
      <c r="R11" s="269" t="s">
        <v>214</v>
      </c>
      <c r="S11" s="265">
        <f>data!H12</f>
        <v>2</v>
      </c>
      <c r="T11" s="265">
        <v>4</v>
      </c>
      <c r="U11" s="265">
        <v>-40.8</v>
      </c>
      <c r="V11" s="265">
        <f t="shared" si="5"/>
        <v>8</v>
      </c>
      <c r="W11" s="265">
        <f t="shared" si="6"/>
        <v>-81.6</v>
      </c>
      <c r="X11" s="265">
        <f>S11*1.001</f>
        <v>2.002</v>
      </c>
      <c r="Y11" s="264">
        <v>20</v>
      </c>
      <c r="Z11" s="268"/>
      <c r="AA11" s="265"/>
      <c r="AB11" s="265"/>
      <c r="AC11" s="265"/>
      <c r="AD11" s="271">
        <v>1</v>
      </c>
    </row>
    <row r="12" spans="1:30" ht="12.75">
      <c r="A12" s="47">
        <v>1.18</v>
      </c>
      <c r="B12" s="55">
        <f t="shared" si="0"/>
        <v>1438.0520000000001</v>
      </c>
      <c r="C12" s="50">
        <f t="shared" si="2"/>
        <v>1474.0033</v>
      </c>
      <c r="D12" s="56">
        <f t="shared" si="3"/>
        <v>13.46300000000008</v>
      </c>
      <c r="E12" s="50">
        <f t="shared" si="4"/>
        <v>55</v>
      </c>
      <c r="F12" s="50">
        <f t="shared" si="1"/>
        <v>1216.5</v>
      </c>
      <c r="G12" s="50">
        <f t="shared" si="1"/>
        <v>-74</v>
      </c>
      <c r="H12" s="57">
        <v>0.784</v>
      </c>
      <c r="I12" s="57">
        <v>1.106</v>
      </c>
      <c r="J12" s="57">
        <v>0.6164</v>
      </c>
      <c r="K12" s="57">
        <v>19.9016</v>
      </c>
      <c r="L12" s="58">
        <v>27.4884</v>
      </c>
      <c r="M12" s="95">
        <v>0.38</v>
      </c>
      <c r="N12" s="96">
        <v>2.74</v>
      </c>
      <c r="O12" s="102"/>
      <c r="P12" s="360"/>
      <c r="R12" s="269" t="s">
        <v>217</v>
      </c>
      <c r="S12" s="265">
        <v>0</v>
      </c>
      <c r="T12" s="265">
        <v>2</v>
      </c>
      <c r="U12" s="265">
        <v>46.3</v>
      </c>
      <c r="V12" s="265">
        <f t="shared" si="5"/>
        <v>0</v>
      </c>
      <c r="W12" s="265">
        <f t="shared" si="6"/>
        <v>0</v>
      </c>
      <c r="X12" s="265">
        <f>S12*1.025</f>
        <v>0</v>
      </c>
      <c r="Y12" s="264">
        <v>57</v>
      </c>
      <c r="Z12" s="265">
        <v>58.43</v>
      </c>
      <c r="AA12" s="265"/>
      <c r="AB12" s="265"/>
      <c r="AC12" s="265"/>
      <c r="AD12" s="271">
        <v>1.025</v>
      </c>
    </row>
    <row r="13" spans="1:30" ht="12.75">
      <c r="A13" s="47">
        <v>1.19</v>
      </c>
      <c r="B13" s="55">
        <f t="shared" si="0"/>
        <v>1451.5205</v>
      </c>
      <c r="C13" s="50">
        <f t="shared" si="2"/>
        <v>1487.8085125</v>
      </c>
      <c r="D13" s="56">
        <f t="shared" si="3"/>
        <v>13.473999999999933</v>
      </c>
      <c r="E13" s="50">
        <f t="shared" si="4"/>
        <v>55</v>
      </c>
      <c r="F13" s="50">
        <f t="shared" si="1"/>
        <v>1216.5</v>
      </c>
      <c r="G13" s="50">
        <f t="shared" si="1"/>
        <v>-74</v>
      </c>
      <c r="H13" s="57">
        <v>0.777</v>
      </c>
      <c r="I13" s="57">
        <v>1.103</v>
      </c>
      <c r="J13" s="57">
        <v>0.6217</v>
      </c>
      <c r="K13" s="57">
        <v>19.7413</v>
      </c>
      <c r="L13" s="58">
        <v>27.5227</v>
      </c>
      <c r="M13" s="95">
        <v>0.39</v>
      </c>
      <c r="N13" s="96">
        <v>2.72</v>
      </c>
      <c r="O13" s="102"/>
      <c r="P13" s="360"/>
      <c r="R13" s="269" t="s">
        <v>218</v>
      </c>
      <c r="S13" s="265">
        <v>0</v>
      </c>
      <c r="T13" s="265">
        <v>2.01</v>
      </c>
      <c r="U13" s="265">
        <v>26.17</v>
      </c>
      <c r="V13" s="265">
        <f t="shared" si="5"/>
        <v>0</v>
      </c>
      <c r="W13" s="265">
        <f t="shared" si="6"/>
        <v>0</v>
      </c>
      <c r="X13" s="265">
        <f>S13*1.025</f>
        <v>0</v>
      </c>
      <c r="Y13" s="264">
        <v>359.9</v>
      </c>
      <c r="Z13" s="265">
        <v>368.9</v>
      </c>
      <c r="AA13" s="265"/>
      <c r="AB13" s="265"/>
      <c r="AC13" s="265"/>
      <c r="AD13" s="271">
        <v>1.025</v>
      </c>
    </row>
    <row r="14" spans="1:30" ht="12.75">
      <c r="A14" s="46">
        <v>1.2</v>
      </c>
      <c r="B14" s="51">
        <f t="shared" si="0"/>
        <v>1465</v>
      </c>
      <c r="C14" s="52">
        <f t="shared" si="2"/>
        <v>1501.6249999999998</v>
      </c>
      <c r="D14" s="53">
        <f t="shared" si="3"/>
        <v>13.4849999999999</v>
      </c>
      <c r="E14" s="52">
        <f t="shared" si="4"/>
        <v>55</v>
      </c>
      <c r="F14" s="52">
        <f t="shared" si="1"/>
        <v>1216.5</v>
      </c>
      <c r="G14" s="52">
        <f t="shared" si="1"/>
        <v>-74</v>
      </c>
      <c r="H14" s="52">
        <v>0.77</v>
      </c>
      <c r="I14" s="52">
        <v>1.1</v>
      </c>
      <c r="J14" s="52">
        <v>0.627</v>
      </c>
      <c r="K14" s="52">
        <v>19.581</v>
      </c>
      <c r="L14" s="54">
        <v>27.557</v>
      </c>
      <c r="M14" s="95">
        <v>0.4</v>
      </c>
      <c r="N14" s="96">
        <v>2.7</v>
      </c>
      <c r="O14" s="102"/>
      <c r="P14" s="360"/>
      <c r="R14" s="269" t="s">
        <v>219</v>
      </c>
      <c r="S14" s="265">
        <v>0</v>
      </c>
      <c r="T14" s="265">
        <v>2.01</v>
      </c>
      <c r="U14" s="265">
        <v>26.17</v>
      </c>
      <c r="V14" s="265">
        <f t="shared" si="5"/>
        <v>0</v>
      </c>
      <c r="W14" s="265">
        <f t="shared" si="6"/>
        <v>0</v>
      </c>
      <c r="X14" s="265">
        <f>S14*1.025</f>
        <v>0</v>
      </c>
      <c r="Y14" s="264">
        <v>359.9</v>
      </c>
      <c r="Z14" s="265">
        <v>368.9</v>
      </c>
      <c r="AA14" s="265"/>
      <c r="AB14" s="265"/>
      <c r="AC14" s="265"/>
      <c r="AD14" s="271">
        <v>1.025</v>
      </c>
    </row>
    <row r="15" spans="1:30" ht="12.75">
      <c r="A15" s="47">
        <v>1.21</v>
      </c>
      <c r="B15" s="55">
        <f t="shared" si="0"/>
        <v>1478.4904999999999</v>
      </c>
      <c r="C15" s="50">
        <f t="shared" si="2"/>
        <v>1515.4527624999998</v>
      </c>
      <c r="D15" s="56">
        <f t="shared" si="3"/>
        <v>13.495999999999981</v>
      </c>
      <c r="E15" s="50">
        <f t="shared" si="4"/>
        <v>55</v>
      </c>
      <c r="F15" s="50">
        <f t="shared" si="1"/>
        <v>1216.5</v>
      </c>
      <c r="G15" s="50">
        <f t="shared" si="1"/>
        <v>-74</v>
      </c>
      <c r="H15" s="57">
        <v>0.7625</v>
      </c>
      <c r="I15" s="57">
        <v>1.096</v>
      </c>
      <c r="J15" s="57">
        <v>0.6323</v>
      </c>
      <c r="K15" s="57">
        <v>19.458</v>
      </c>
      <c r="L15" s="58">
        <v>27.5856</v>
      </c>
      <c r="M15" s="95">
        <v>0.41</v>
      </c>
      <c r="N15" s="96">
        <v>2.683</v>
      </c>
      <c r="O15" s="102"/>
      <c r="P15" s="360"/>
      <c r="R15" s="269" t="s">
        <v>220</v>
      </c>
      <c r="S15" s="265">
        <v>0</v>
      </c>
      <c r="T15" s="265">
        <v>2.19</v>
      </c>
      <c r="U15" s="265">
        <v>-9.23</v>
      </c>
      <c r="V15" s="265">
        <f t="shared" si="5"/>
        <v>0</v>
      </c>
      <c r="W15" s="265">
        <f t="shared" si="6"/>
        <v>0</v>
      </c>
      <c r="X15" s="265">
        <f>S15*1.025</f>
        <v>0</v>
      </c>
      <c r="Y15" s="264">
        <v>465.7</v>
      </c>
      <c r="Z15" s="265">
        <v>477.34</v>
      </c>
      <c r="AA15" s="265"/>
      <c r="AB15" s="265"/>
      <c r="AC15" s="265"/>
      <c r="AD15" s="271">
        <v>1.025</v>
      </c>
    </row>
    <row r="16" spans="1:30" ht="12.75">
      <c r="A16" s="47">
        <v>1.22</v>
      </c>
      <c r="B16" s="55">
        <f t="shared" si="0"/>
        <v>1491.992</v>
      </c>
      <c r="C16" s="50">
        <f t="shared" si="2"/>
        <v>1529.2917999999997</v>
      </c>
      <c r="D16" s="56">
        <f t="shared" si="3"/>
        <v>13.507000000000062</v>
      </c>
      <c r="E16" s="50">
        <f t="shared" si="4"/>
        <v>55</v>
      </c>
      <c r="F16" s="50">
        <f t="shared" si="1"/>
        <v>1216.5</v>
      </c>
      <c r="G16" s="50">
        <f t="shared" si="1"/>
        <v>-74</v>
      </c>
      <c r="H16" s="57">
        <v>0.755</v>
      </c>
      <c r="I16" s="57">
        <v>1.092</v>
      </c>
      <c r="J16" s="57">
        <v>0.6376</v>
      </c>
      <c r="K16" s="57">
        <v>19.335</v>
      </c>
      <c r="L16" s="58">
        <v>27.6142</v>
      </c>
      <c r="M16" s="95">
        <v>0.42</v>
      </c>
      <c r="N16" s="96">
        <v>2.666</v>
      </c>
      <c r="O16" s="102"/>
      <c r="P16" s="360"/>
      <c r="R16" s="269" t="s">
        <v>221</v>
      </c>
      <c r="S16" s="265">
        <v>0</v>
      </c>
      <c r="T16" s="265">
        <v>2.19</v>
      </c>
      <c r="U16" s="265">
        <v>-9.23</v>
      </c>
      <c r="V16" s="265">
        <f t="shared" si="5"/>
        <v>0</v>
      </c>
      <c r="W16" s="265">
        <f t="shared" si="6"/>
        <v>0</v>
      </c>
      <c r="X16" s="265">
        <f>S16*1.025</f>
        <v>0</v>
      </c>
      <c r="Y16" s="264">
        <v>465.7</v>
      </c>
      <c r="Z16" s="265">
        <v>477.34</v>
      </c>
      <c r="AA16" s="265"/>
      <c r="AB16" s="265"/>
      <c r="AC16" s="265"/>
      <c r="AD16" s="271">
        <v>1.025</v>
      </c>
    </row>
    <row r="17" spans="1:30" ht="12.75">
      <c r="A17" s="47">
        <v>1.23</v>
      </c>
      <c r="B17" s="55">
        <f t="shared" si="0"/>
        <v>1505.5045</v>
      </c>
      <c r="C17" s="50">
        <f t="shared" si="2"/>
        <v>1543.1421125</v>
      </c>
      <c r="D17" s="56">
        <f t="shared" si="3"/>
        <v>13.518000000000029</v>
      </c>
      <c r="E17" s="50">
        <f t="shared" si="4"/>
        <v>55</v>
      </c>
      <c r="F17" s="50">
        <f t="shared" si="1"/>
        <v>1216.5</v>
      </c>
      <c r="G17" s="50">
        <f t="shared" si="1"/>
        <v>-74</v>
      </c>
      <c r="H17" s="57">
        <v>0.7475</v>
      </c>
      <c r="I17" s="57">
        <v>1.088</v>
      </c>
      <c r="J17" s="57">
        <v>0.6429</v>
      </c>
      <c r="K17" s="57">
        <v>19.212</v>
      </c>
      <c r="L17" s="58">
        <v>27.6428</v>
      </c>
      <c r="M17" s="95">
        <v>0.43</v>
      </c>
      <c r="N17" s="96">
        <v>2.649</v>
      </c>
      <c r="O17" s="102"/>
      <c r="P17" s="360"/>
      <c r="R17" s="269" t="s">
        <v>225</v>
      </c>
      <c r="S17" s="265">
        <v>5</v>
      </c>
      <c r="T17" s="265">
        <v>6.2</v>
      </c>
      <c r="U17" s="265">
        <v>-35</v>
      </c>
      <c r="V17" s="265">
        <f t="shared" si="5"/>
        <v>31</v>
      </c>
      <c r="W17" s="265">
        <f t="shared" si="6"/>
        <v>-175</v>
      </c>
      <c r="X17" s="265">
        <f t="shared" si="7"/>
        <v>5</v>
      </c>
      <c r="Y17" s="264">
        <v>0</v>
      </c>
      <c r="Z17" s="265">
        <v>5</v>
      </c>
      <c r="AA17" s="265"/>
      <c r="AB17" s="265"/>
      <c r="AC17" s="265"/>
      <c r="AD17" s="271">
        <v>1</v>
      </c>
    </row>
    <row r="18" spans="1:30" ht="12.75">
      <c r="A18" s="47">
        <v>1.24</v>
      </c>
      <c r="B18" s="55">
        <f t="shared" si="0"/>
        <v>1519.028</v>
      </c>
      <c r="C18" s="50">
        <f t="shared" si="2"/>
        <v>1557.0037</v>
      </c>
      <c r="D18" s="56">
        <f t="shared" si="3"/>
        <v>13.528999999999996</v>
      </c>
      <c r="E18" s="50">
        <f t="shared" si="4"/>
        <v>55</v>
      </c>
      <c r="F18" s="50">
        <f t="shared" si="1"/>
        <v>1216.5</v>
      </c>
      <c r="G18" s="50">
        <f t="shared" si="1"/>
        <v>-74</v>
      </c>
      <c r="H18" s="57">
        <v>0.74</v>
      </c>
      <c r="I18" s="57">
        <v>1.084</v>
      </c>
      <c r="J18" s="57">
        <v>0.6482</v>
      </c>
      <c r="K18" s="57">
        <v>19.089</v>
      </c>
      <c r="L18" s="58">
        <v>27.6714</v>
      </c>
      <c r="M18" s="95">
        <v>0.44</v>
      </c>
      <c r="N18" s="96">
        <v>2.632</v>
      </c>
      <c r="O18" s="102"/>
      <c r="P18" s="360"/>
      <c r="R18" s="269"/>
      <c r="S18" s="265"/>
      <c r="T18" s="265"/>
      <c r="U18" s="265"/>
      <c r="V18" s="265">
        <f t="shared" si="5"/>
        <v>0</v>
      </c>
      <c r="W18" s="265">
        <f t="shared" si="6"/>
        <v>0</v>
      </c>
      <c r="X18" s="265">
        <f t="shared" si="7"/>
        <v>0</v>
      </c>
      <c r="Y18" s="264">
        <v>0</v>
      </c>
      <c r="Z18" s="265"/>
      <c r="AA18" s="265"/>
      <c r="AB18" s="265"/>
      <c r="AC18" s="265"/>
      <c r="AD18" s="271"/>
    </row>
    <row r="19" spans="1:30" ht="12.75">
      <c r="A19" s="47">
        <v>1.25</v>
      </c>
      <c r="B19" s="55">
        <f t="shared" si="0"/>
        <v>1532.5625</v>
      </c>
      <c r="C19" s="50">
        <f t="shared" si="2"/>
        <v>1570.8765624999999</v>
      </c>
      <c r="D19" s="56">
        <f t="shared" si="3"/>
        <v>13.539999999999964</v>
      </c>
      <c r="E19" s="50">
        <f t="shared" si="4"/>
        <v>55</v>
      </c>
      <c r="F19" s="50">
        <f t="shared" si="1"/>
        <v>1216.5</v>
      </c>
      <c r="G19" s="50">
        <f t="shared" si="1"/>
        <v>-74</v>
      </c>
      <c r="H19" s="57">
        <v>0.7325</v>
      </c>
      <c r="I19" s="57">
        <v>1.08</v>
      </c>
      <c r="J19" s="57">
        <v>0.6535</v>
      </c>
      <c r="K19" s="57">
        <v>18.966</v>
      </c>
      <c r="L19" s="58">
        <v>27.7</v>
      </c>
      <c r="M19" s="95">
        <v>0.45</v>
      </c>
      <c r="N19" s="96">
        <v>2.615</v>
      </c>
      <c r="O19" s="102"/>
      <c r="P19" s="360"/>
      <c r="R19" s="269"/>
      <c r="S19" s="265"/>
      <c r="T19" s="265"/>
      <c r="U19" s="265"/>
      <c r="V19" s="265">
        <f t="shared" si="5"/>
        <v>0</v>
      </c>
      <c r="W19" s="265">
        <f t="shared" si="6"/>
        <v>0</v>
      </c>
      <c r="X19" s="265">
        <f t="shared" si="7"/>
        <v>0</v>
      </c>
      <c r="Y19" s="264">
        <v>0</v>
      </c>
      <c r="Z19" s="265"/>
      <c r="AA19" s="265"/>
      <c r="AB19" s="265"/>
      <c r="AC19" s="265"/>
      <c r="AD19" s="271"/>
    </row>
    <row r="20" spans="1:30" ht="12.75">
      <c r="A20" s="47">
        <v>1.26</v>
      </c>
      <c r="B20" s="55">
        <f t="shared" si="0"/>
        <v>1546.108</v>
      </c>
      <c r="C20" s="50">
        <f t="shared" si="2"/>
        <v>1584.7606999999998</v>
      </c>
      <c r="D20" s="56">
        <f t="shared" si="3"/>
        <v>13.55099999999993</v>
      </c>
      <c r="E20" s="50">
        <f t="shared" si="4"/>
        <v>55</v>
      </c>
      <c r="F20" s="50">
        <f t="shared" si="1"/>
        <v>1216.5</v>
      </c>
      <c r="G20" s="50">
        <f t="shared" si="1"/>
        <v>-74</v>
      </c>
      <c r="H20" s="57">
        <v>0.725</v>
      </c>
      <c r="I20" s="57">
        <v>1.076</v>
      </c>
      <c r="J20" s="57">
        <v>0.6588</v>
      </c>
      <c r="K20" s="57">
        <v>18.843</v>
      </c>
      <c r="L20" s="58">
        <v>27.7286</v>
      </c>
      <c r="M20" s="95">
        <v>0.46</v>
      </c>
      <c r="N20" s="96">
        <v>2.598</v>
      </c>
      <c r="O20" s="102"/>
      <c r="P20" s="360"/>
      <c r="R20" s="269"/>
      <c r="S20" s="265"/>
      <c r="T20" s="265"/>
      <c r="U20" s="265"/>
      <c r="V20" s="265">
        <f t="shared" si="5"/>
        <v>0</v>
      </c>
      <c r="W20" s="265">
        <f t="shared" si="6"/>
        <v>0</v>
      </c>
      <c r="X20" s="265">
        <f t="shared" si="7"/>
        <v>0</v>
      </c>
      <c r="Y20" s="264">
        <v>0</v>
      </c>
      <c r="Z20" s="265"/>
      <c r="AA20" s="265"/>
      <c r="AB20" s="265"/>
      <c r="AC20" s="265"/>
      <c r="AD20" s="271"/>
    </row>
    <row r="21" spans="1:30" ht="12.75">
      <c r="A21" s="47">
        <v>1.27</v>
      </c>
      <c r="B21" s="55">
        <f t="shared" si="0"/>
        <v>1559.6644999999999</v>
      </c>
      <c r="C21" s="50">
        <f t="shared" si="2"/>
        <v>1598.6561124999996</v>
      </c>
      <c r="D21" s="56">
        <f t="shared" si="3"/>
        <v>13.562000000000126</v>
      </c>
      <c r="E21" s="50">
        <f t="shared" si="4"/>
        <v>55</v>
      </c>
      <c r="F21" s="50">
        <f t="shared" si="4"/>
        <v>1216.5</v>
      </c>
      <c r="G21" s="50">
        <f t="shared" si="4"/>
        <v>-74</v>
      </c>
      <c r="H21" s="57">
        <v>0.7175</v>
      </c>
      <c r="I21" s="57">
        <v>1.072</v>
      </c>
      <c r="J21" s="57">
        <v>0.6641</v>
      </c>
      <c r="K21" s="57">
        <v>18.72</v>
      </c>
      <c r="L21" s="58">
        <v>27.7572</v>
      </c>
      <c r="M21" s="95">
        <v>0.47</v>
      </c>
      <c r="N21" s="96">
        <v>2.581</v>
      </c>
      <c r="O21" s="102"/>
      <c r="P21" s="360"/>
      <c r="R21" s="269"/>
      <c r="S21" s="265"/>
      <c r="T21" s="265"/>
      <c r="U21" s="265"/>
      <c r="V21" s="265">
        <f t="shared" si="5"/>
        <v>0</v>
      </c>
      <c r="W21" s="265">
        <f t="shared" si="6"/>
        <v>0</v>
      </c>
      <c r="X21" s="265">
        <f t="shared" si="7"/>
        <v>0</v>
      </c>
      <c r="Y21" s="264">
        <v>0</v>
      </c>
      <c r="Z21" s="265"/>
      <c r="AA21" s="265"/>
      <c r="AB21" s="265"/>
      <c r="AC21" s="265"/>
      <c r="AD21" s="271"/>
    </row>
    <row r="22" spans="1:30" ht="12.75">
      <c r="A22" s="47">
        <v>1.28</v>
      </c>
      <c r="B22" s="55">
        <f t="shared" si="0"/>
        <v>1573.2320000000002</v>
      </c>
      <c r="C22" s="50">
        <f t="shared" si="2"/>
        <v>1612.5628000000002</v>
      </c>
      <c r="D22" s="56">
        <f t="shared" si="3"/>
        <v>13.573000000000093</v>
      </c>
      <c r="E22" s="50">
        <f t="shared" si="4"/>
        <v>55</v>
      </c>
      <c r="F22" s="50">
        <f t="shared" si="4"/>
        <v>1216.5</v>
      </c>
      <c r="G22" s="50">
        <f t="shared" si="4"/>
        <v>-74</v>
      </c>
      <c r="H22" s="57">
        <v>0.71</v>
      </c>
      <c r="I22" s="57">
        <v>1.068</v>
      </c>
      <c r="J22" s="57">
        <v>0.6694</v>
      </c>
      <c r="K22" s="57">
        <v>18.597</v>
      </c>
      <c r="L22" s="58">
        <v>27.7858</v>
      </c>
      <c r="M22" s="95">
        <v>0.48</v>
      </c>
      <c r="N22" s="96">
        <v>2.564</v>
      </c>
      <c r="O22" s="102"/>
      <c r="P22" s="360"/>
      <c r="R22" s="269"/>
      <c r="S22" s="265"/>
      <c r="T22" s="265"/>
      <c r="U22" s="265"/>
      <c r="V22" s="265">
        <f t="shared" si="5"/>
        <v>0</v>
      </c>
      <c r="W22" s="265">
        <f t="shared" si="6"/>
        <v>0</v>
      </c>
      <c r="X22" s="265">
        <f t="shared" si="7"/>
        <v>0</v>
      </c>
      <c r="Y22" s="264">
        <v>0</v>
      </c>
      <c r="Z22" s="265"/>
      <c r="AA22" s="265"/>
      <c r="AB22" s="265"/>
      <c r="AC22" s="265"/>
      <c r="AD22" s="271"/>
    </row>
    <row r="23" spans="1:30" ht="12.75">
      <c r="A23" s="47">
        <v>1.29</v>
      </c>
      <c r="B23" s="55">
        <f t="shared" si="0"/>
        <v>1586.8105</v>
      </c>
      <c r="C23" s="50">
        <f t="shared" si="2"/>
        <v>1626.4807624999999</v>
      </c>
      <c r="D23" s="56">
        <f t="shared" si="3"/>
        <v>13.583999999999946</v>
      </c>
      <c r="E23" s="50">
        <f t="shared" si="4"/>
        <v>55</v>
      </c>
      <c r="F23" s="50">
        <f t="shared" si="4"/>
        <v>1216.5</v>
      </c>
      <c r="G23" s="50">
        <f t="shared" si="4"/>
        <v>-74</v>
      </c>
      <c r="H23" s="57">
        <v>0.7025</v>
      </c>
      <c r="I23" s="57">
        <v>1.064</v>
      </c>
      <c r="J23" s="57">
        <v>0.6747</v>
      </c>
      <c r="K23" s="57">
        <v>18.474</v>
      </c>
      <c r="L23" s="58">
        <v>27.8144</v>
      </c>
      <c r="M23" s="95">
        <v>0.49</v>
      </c>
      <c r="N23" s="96">
        <v>2.547</v>
      </c>
      <c r="O23" s="102"/>
      <c r="P23" s="360"/>
      <c r="R23" s="269"/>
      <c r="S23" s="265"/>
      <c r="T23" s="265"/>
      <c r="U23" s="265"/>
      <c r="V23" s="265">
        <f t="shared" si="5"/>
        <v>0</v>
      </c>
      <c r="W23" s="265">
        <f t="shared" si="6"/>
        <v>0</v>
      </c>
      <c r="X23" s="265">
        <f t="shared" si="7"/>
        <v>0</v>
      </c>
      <c r="Y23" s="264">
        <v>0</v>
      </c>
      <c r="Z23" s="265"/>
      <c r="AA23" s="265"/>
      <c r="AB23" s="265"/>
      <c r="AC23" s="265"/>
      <c r="AD23" s="271"/>
    </row>
    <row r="24" spans="1:30" ht="13.5" customHeight="1" thickBot="1">
      <c r="A24" s="46">
        <v>1.3</v>
      </c>
      <c r="B24" s="51">
        <f t="shared" si="0"/>
        <v>1600.4</v>
      </c>
      <c r="C24" s="52">
        <f t="shared" si="2"/>
        <v>1640.4099999999999</v>
      </c>
      <c r="D24" s="53">
        <f t="shared" si="3"/>
        <v>13.595000000000027</v>
      </c>
      <c r="E24" s="52">
        <f t="shared" si="4"/>
        <v>55</v>
      </c>
      <c r="F24" s="52">
        <f t="shared" si="4"/>
        <v>1216.5</v>
      </c>
      <c r="G24" s="52">
        <f t="shared" si="4"/>
        <v>-74</v>
      </c>
      <c r="H24" s="52">
        <v>0.695</v>
      </c>
      <c r="I24" s="52">
        <v>1.06</v>
      </c>
      <c r="J24" s="52">
        <v>0.68</v>
      </c>
      <c r="K24" s="52">
        <v>18.351</v>
      </c>
      <c r="L24" s="54">
        <v>27.843</v>
      </c>
      <c r="M24" s="95">
        <v>0.5</v>
      </c>
      <c r="N24" s="96">
        <v>2.53</v>
      </c>
      <c r="O24" s="102"/>
      <c r="P24" s="361"/>
      <c r="R24" s="272" t="s">
        <v>94</v>
      </c>
      <c r="S24" s="273">
        <f>SUM(S4:S23)</f>
        <v>3109.7</v>
      </c>
      <c r="T24" s="273">
        <f>V24/S24</f>
        <v>5.250028941698556</v>
      </c>
      <c r="U24" s="273">
        <f>W24/S24</f>
        <v>1.2517766987169192</v>
      </c>
      <c r="V24" s="273">
        <f>SUM(V4:V23)</f>
        <v>16326.015</v>
      </c>
      <c r="W24" s="273">
        <f>SUM(W4:W23)</f>
        <v>3892.6500000000037</v>
      </c>
      <c r="X24" s="273">
        <f>SUM(X5:X23)</f>
        <v>3407.6020000000003</v>
      </c>
      <c r="Y24" s="274">
        <f>SUM(Y4:Y23)</f>
        <v>6183.399999999999</v>
      </c>
      <c r="Z24" s="273">
        <f>SUM(Z4:Z23)</f>
        <v>2089.812</v>
      </c>
      <c r="AA24" s="273">
        <f>SUM(AA13:AA23)</f>
        <v>0</v>
      </c>
      <c r="AB24" s="273">
        <f>SUM(AB5:AB23)</f>
        <v>0</v>
      </c>
      <c r="AC24" s="273"/>
      <c r="AD24" s="275"/>
    </row>
    <row r="25" spans="1:15" ht="12.75">
      <c r="A25" s="47">
        <v>1.31</v>
      </c>
      <c r="B25" s="55">
        <f t="shared" si="0"/>
        <v>1614.0005</v>
      </c>
      <c r="C25" s="50">
        <f t="shared" si="2"/>
        <v>1654.3505125</v>
      </c>
      <c r="D25" s="56">
        <f t="shared" si="3"/>
        <v>13.605999999999995</v>
      </c>
      <c r="E25" s="50">
        <f t="shared" si="4"/>
        <v>55</v>
      </c>
      <c r="F25" s="50">
        <f t="shared" si="4"/>
        <v>1216.5</v>
      </c>
      <c r="G25" s="50">
        <f t="shared" si="4"/>
        <v>-74</v>
      </c>
      <c r="H25" s="57">
        <v>0.6875</v>
      </c>
      <c r="I25" s="57">
        <v>1.056</v>
      </c>
      <c r="J25" s="57">
        <v>0.6852</v>
      </c>
      <c r="K25" s="57">
        <v>18.2279</v>
      </c>
      <c r="L25" s="58">
        <v>27.873</v>
      </c>
      <c r="M25" s="95">
        <v>0.51</v>
      </c>
      <c r="N25" s="96">
        <v>2.512</v>
      </c>
      <c r="O25" s="103"/>
    </row>
    <row r="26" spans="1:15" ht="12.75">
      <c r="A26" s="47">
        <v>1.32</v>
      </c>
      <c r="B26" s="55">
        <f t="shared" si="0"/>
        <v>1627.612</v>
      </c>
      <c r="C26" s="50">
        <f t="shared" si="2"/>
        <v>1668.3022999999998</v>
      </c>
      <c r="D26" s="56">
        <f t="shared" si="3"/>
        <v>13.617000000000075</v>
      </c>
      <c r="E26" s="50">
        <f t="shared" si="4"/>
        <v>55</v>
      </c>
      <c r="F26" s="50">
        <f t="shared" si="4"/>
        <v>1216.5</v>
      </c>
      <c r="G26" s="50">
        <f t="shared" si="4"/>
        <v>-74</v>
      </c>
      <c r="H26" s="57">
        <v>0.68</v>
      </c>
      <c r="I26" s="57">
        <v>1.052</v>
      </c>
      <c r="J26" s="57">
        <v>0.6904</v>
      </c>
      <c r="K26" s="57">
        <v>18.1048</v>
      </c>
      <c r="L26" s="58">
        <v>27.903</v>
      </c>
      <c r="M26" s="95">
        <v>0.52</v>
      </c>
      <c r="N26" s="96">
        <v>2.494</v>
      </c>
      <c r="O26" s="103"/>
    </row>
    <row r="27" spans="1:15" ht="12.75">
      <c r="A27" s="47">
        <v>1.33</v>
      </c>
      <c r="B27" s="55">
        <f t="shared" si="0"/>
        <v>1641.2345000000003</v>
      </c>
      <c r="C27" s="50">
        <f t="shared" si="2"/>
        <v>1682.2653625</v>
      </c>
      <c r="D27" s="56">
        <f t="shared" si="3"/>
        <v>13.628000000000043</v>
      </c>
      <c r="E27" s="50">
        <f t="shared" si="4"/>
        <v>55</v>
      </c>
      <c r="F27" s="50">
        <f t="shared" si="4"/>
        <v>1216.5</v>
      </c>
      <c r="G27" s="50">
        <f t="shared" si="4"/>
        <v>-74</v>
      </c>
      <c r="H27" s="57">
        <v>0.6725</v>
      </c>
      <c r="I27" s="57">
        <v>1.048</v>
      </c>
      <c r="J27" s="57">
        <v>0.6956</v>
      </c>
      <c r="K27" s="57">
        <v>17.9817</v>
      </c>
      <c r="L27" s="58">
        <v>27.933</v>
      </c>
      <c r="M27" s="95">
        <v>0.53</v>
      </c>
      <c r="N27" s="96">
        <v>2.476</v>
      </c>
      <c r="O27" s="103"/>
    </row>
    <row r="28" spans="1:15" ht="12.75">
      <c r="A28" s="47">
        <v>1.34</v>
      </c>
      <c r="B28" s="55">
        <f t="shared" si="0"/>
        <v>1654.8680000000002</v>
      </c>
      <c r="C28" s="50">
        <f t="shared" si="2"/>
        <v>1696.2397</v>
      </c>
      <c r="D28" s="56">
        <f t="shared" si="3"/>
        <v>13.638999999999896</v>
      </c>
      <c r="E28" s="50">
        <f t="shared" si="4"/>
        <v>55</v>
      </c>
      <c r="F28" s="50">
        <f t="shared" si="4"/>
        <v>1216.5</v>
      </c>
      <c r="G28" s="50">
        <f t="shared" si="4"/>
        <v>-74</v>
      </c>
      <c r="H28" s="57">
        <v>0.665</v>
      </c>
      <c r="I28" s="57">
        <v>1.044</v>
      </c>
      <c r="J28" s="57">
        <v>0.7008</v>
      </c>
      <c r="K28" s="57">
        <v>17.8586</v>
      </c>
      <c r="L28" s="58">
        <v>27.963</v>
      </c>
      <c r="M28" s="95">
        <v>0.54</v>
      </c>
      <c r="N28" s="96">
        <v>2.458</v>
      </c>
      <c r="O28" s="103"/>
    </row>
    <row r="29" spans="1:15" ht="12.75">
      <c r="A29" s="47">
        <v>1.35</v>
      </c>
      <c r="B29" s="55">
        <f t="shared" si="0"/>
        <v>1668.5125</v>
      </c>
      <c r="C29" s="50">
        <f t="shared" si="2"/>
        <v>1710.2253125</v>
      </c>
      <c r="D29" s="56">
        <f t="shared" si="3"/>
        <v>13.649999999999977</v>
      </c>
      <c r="E29" s="50">
        <f t="shared" si="4"/>
        <v>55</v>
      </c>
      <c r="F29" s="50">
        <f t="shared" si="4"/>
        <v>1216.5</v>
      </c>
      <c r="G29" s="50">
        <f t="shared" si="4"/>
        <v>-74</v>
      </c>
      <c r="H29" s="57">
        <v>0.6575</v>
      </c>
      <c r="I29" s="57">
        <v>1.04</v>
      </c>
      <c r="J29" s="57">
        <v>0.706</v>
      </c>
      <c r="K29" s="57">
        <v>17.7355</v>
      </c>
      <c r="L29" s="58">
        <v>27.993</v>
      </c>
      <c r="M29" s="95">
        <v>0.55</v>
      </c>
      <c r="N29" s="96">
        <v>2.44</v>
      </c>
      <c r="O29" s="103"/>
    </row>
    <row r="30" spans="1:15" ht="12.75">
      <c r="A30" s="47">
        <v>1.36</v>
      </c>
      <c r="B30" s="55">
        <f t="shared" si="0"/>
        <v>1682.1680000000001</v>
      </c>
      <c r="C30" s="50">
        <f t="shared" si="2"/>
        <v>1724.2222</v>
      </c>
      <c r="D30" s="56">
        <f t="shared" si="3"/>
        <v>13.660999999999945</v>
      </c>
      <c r="E30" s="50">
        <f t="shared" si="4"/>
        <v>55</v>
      </c>
      <c r="F30" s="50">
        <f t="shared" si="4"/>
        <v>1216.5</v>
      </c>
      <c r="G30" s="50">
        <f t="shared" si="4"/>
        <v>-74</v>
      </c>
      <c r="H30" s="57">
        <v>0.65</v>
      </c>
      <c r="I30" s="57">
        <v>1.036</v>
      </c>
      <c r="J30" s="57">
        <v>0.7112</v>
      </c>
      <c r="K30" s="57">
        <v>17.6124</v>
      </c>
      <c r="L30" s="58">
        <v>28.023</v>
      </c>
      <c r="M30" s="95">
        <v>0.56</v>
      </c>
      <c r="N30" s="96">
        <v>2.422</v>
      </c>
      <c r="O30" s="103"/>
    </row>
    <row r="31" spans="1:15" ht="12.75">
      <c r="A31" s="47">
        <v>1.37</v>
      </c>
      <c r="B31" s="55">
        <f t="shared" si="0"/>
        <v>1695.8345</v>
      </c>
      <c r="C31" s="50">
        <f t="shared" si="2"/>
        <v>1738.2303624999997</v>
      </c>
      <c r="D31" s="56">
        <f t="shared" si="3"/>
        <v>13.671999999999912</v>
      </c>
      <c r="E31" s="50">
        <f t="shared" si="4"/>
        <v>55</v>
      </c>
      <c r="F31" s="50">
        <f t="shared" si="4"/>
        <v>1216.5</v>
      </c>
      <c r="G31" s="50">
        <f t="shared" si="4"/>
        <v>-74</v>
      </c>
      <c r="H31" s="57">
        <v>0.6425</v>
      </c>
      <c r="I31" s="57">
        <v>1.032</v>
      </c>
      <c r="J31" s="57">
        <v>0.7164</v>
      </c>
      <c r="K31" s="57">
        <v>17.4893</v>
      </c>
      <c r="L31" s="58">
        <v>28.053</v>
      </c>
      <c r="M31" s="95">
        <v>0.57</v>
      </c>
      <c r="N31" s="96">
        <v>2.404</v>
      </c>
      <c r="O31" s="103"/>
    </row>
    <row r="32" spans="1:15" ht="12.75">
      <c r="A32" s="47">
        <v>1.38</v>
      </c>
      <c r="B32" s="55">
        <f t="shared" si="0"/>
        <v>1709.512</v>
      </c>
      <c r="C32" s="50">
        <f t="shared" si="2"/>
        <v>1752.2497999999998</v>
      </c>
      <c r="D32" s="56">
        <f t="shared" si="3"/>
        <v>13.682999999999993</v>
      </c>
      <c r="E32" s="50">
        <f t="shared" si="4"/>
        <v>55</v>
      </c>
      <c r="F32" s="50">
        <f t="shared" si="4"/>
        <v>1216.5</v>
      </c>
      <c r="G32" s="50">
        <f t="shared" si="4"/>
        <v>-74</v>
      </c>
      <c r="H32" s="57">
        <v>0.635</v>
      </c>
      <c r="I32" s="57">
        <v>1.028</v>
      </c>
      <c r="J32" s="57">
        <v>0.7216</v>
      </c>
      <c r="K32" s="57">
        <v>17.3662</v>
      </c>
      <c r="L32" s="58">
        <v>28.083</v>
      </c>
      <c r="M32" s="95">
        <v>0.58</v>
      </c>
      <c r="N32" s="96">
        <v>2.386</v>
      </c>
      <c r="O32" s="103"/>
    </row>
    <row r="33" spans="1:15" ht="12.75">
      <c r="A33" s="47">
        <v>1.39</v>
      </c>
      <c r="B33" s="55">
        <f t="shared" si="0"/>
        <v>1723.2005</v>
      </c>
      <c r="C33" s="50">
        <f t="shared" si="2"/>
        <v>1766.2805124999998</v>
      </c>
      <c r="D33" s="56">
        <f t="shared" si="3"/>
        <v>13.69399999999996</v>
      </c>
      <c r="E33" s="50">
        <f t="shared" si="4"/>
        <v>55</v>
      </c>
      <c r="F33" s="50">
        <f t="shared" si="4"/>
        <v>1216.5</v>
      </c>
      <c r="G33" s="50">
        <f t="shared" si="4"/>
        <v>-74</v>
      </c>
      <c r="H33" s="57">
        <v>0.6275</v>
      </c>
      <c r="I33" s="57">
        <v>1.024</v>
      </c>
      <c r="J33" s="57">
        <v>0.7268</v>
      </c>
      <c r="K33" s="57">
        <v>17.2431</v>
      </c>
      <c r="L33" s="58">
        <v>28.113</v>
      </c>
      <c r="M33" s="95">
        <v>0.59</v>
      </c>
      <c r="N33" s="96">
        <v>2.368</v>
      </c>
      <c r="O33" s="103"/>
    </row>
    <row r="34" spans="1:15" ht="12.75">
      <c r="A34" s="46">
        <v>1.4</v>
      </c>
      <c r="B34" s="51">
        <f t="shared" si="0"/>
        <v>1736.8999999999999</v>
      </c>
      <c r="C34" s="52">
        <f t="shared" si="2"/>
        <v>1780.3224999999998</v>
      </c>
      <c r="D34" s="53">
        <f t="shared" si="3"/>
        <v>13.704999999999927</v>
      </c>
      <c r="E34" s="52">
        <f t="shared" si="4"/>
        <v>55</v>
      </c>
      <c r="F34" s="52">
        <f t="shared" si="4"/>
        <v>1216.5</v>
      </c>
      <c r="G34" s="52">
        <f t="shared" si="4"/>
        <v>-74</v>
      </c>
      <c r="H34" s="52">
        <v>0.62</v>
      </c>
      <c r="I34" s="52">
        <v>1.02</v>
      </c>
      <c r="J34" s="52">
        <v>0.732</v>
      </c>
      <c r="K34" s="52">
        <v>17.12</v>
      </c>
      <c r="L34" s="54">
        <v>28.143</v>
      </c>
      <c r="M34" s="95">
        <v>0.6</v>
      </c>
      <c r="N34" s="96">
        <v>2.35</v>
      </c>
      <c r="O34" s="103"/>
    </row>
    <row r="35" spans="1:15" ht="12.75">
      <c r="A35" s="47">
        <v>1.41</v>
      </c>
      <c r="B35" s="55">
        <f t="shared" si="0"/>
        <v>1750.6104999999998</v>
      </c>
      <c r="C35" s="50">
        <f t="shared" si="2"/>
        <v>1794.3757624999996</v>
      </c>
      <c r="D35" s="56">
        <f t="shared" si="3"/>
        <v>13.716000000000008</v>
      </c>
      <c r="E35" s="50">
        <f t="shared" si="4"/>
        <v>55</v>
      </c>
      <c r="F35" s="50">
        <f t="shared" si="4"/>
        <v>1216.5</v>
      </c>
      <c r="G35" s="50">
        <f t="shared" si="4"/>
        <v>-74</v>
      </c>
      <c r="H35" s="57">
        <v>0.6045</v>
      </c>
      <c r="I35" s="57">
        <v>1.0155</v>
      </c>
      <c r="J35" s="57">
        <v>0.7373</v>
      </c>
      <c r="K35" s="57">
        <v>17.0258</v>
      </c>
      <c r="L35" s="58">
        <v>28.1728</v>
      </c>
      <c r="M35" s="95">
        <v>0.61</v>
      </c>
      <c r="N35" s="96">
        <v>2.335</v>
      </c>
      <c r="O35" s="103"/>
    </row>
    <row r="36" spans="1:15" ht="12.75">
      <c r="A36" s="47">
        <v>1.42</v>
      </c>
      <c r="B36" s="55">
        <f t="shared" si="0"/>
        <v>1764.3319999999999</v>
      </c>
      <c r="C36" s="50">
        <f t="shared" si="2"/>
        <v>1808.4402999999998</v>
      </c>
      <c r="D36" s="56">
        <f t="shared" si="3"/>
        <v>13.72700000000009</v>
      </c>
      <c r="E36" s="50">
        <f t="shared" si="4"/>
        <v>55</v>
      </c>
      <c r="F36" s="50">
        <f t="shared" si="4"/>
        <v>1216.5</v>
      </c>
      <c r="G36" s="50">
        <f t="shared" si="4"/>
        <v>-74</v>
      </c>
      <c r="H36" s="57">
        <v>0.589</v>
      </c>
      <c r="I36" s="57">
        <v>1.011</v>
      </c>
      <c r="J36" s="57">
        <v>0.7426</v>
      </c>
      <c r="K36" s="57">
        <v>16.9316</v>
      </c>
      <c r="L36" s="58">
        <v>28.2026</v>
      </c>
      <c r="M36" s="95">
        <v>0.62</v>
      </c>
      <c r="N36" s="96">
        <v>2.32</v>
      </c>
      <c r="O36" s="103"/>
    </row>
    <row r="37" spans="1:15" ht="12.75">
      <c r="A37" s="47">
        <v>1.43</v>
      </c>
      <c r="B37" s="55">
        <f t="shared" si="0"/>
        <v>1778.0645</v>
      </c>
      <c r="C37" s="50">
        <f t="shared" si="2"/>
        <v>1822.5161124999997</v>
      </c>
      <c r="D37" s="56">
        <f t="shared" si="3"/>
        <v>13.738000000000056</v>
      </c>
      <c r="E37" s="50">
        <f t="shared" si="4"/>
        <v>55</v>
      </c>
      <c r="F37" s="50">
        <f t="shared" si="4"/>
        <v>1216.5</v>
      </c>
      <c r="G37" s="50">
        <f t="shared" si="4"/>
        <v>-74</v>
      </c>
      <c r="H37" s="57">
        <v>0.5735</v>
      </c>
      <c r="I37" s="57">
        <v>1.0065</v>
      </c>
      <c r="J37" s="57">
        <v>0.7479</v>
      </c>
      <c r="K37" s="57">
        <v>16.8374</v>
      </c>
      <c r="L37" s="58">
        <v>28.2324</v>
      </c>
      <c r="M37" s="95">
        <v>0.63</v>
      </c>
      <c r="N37" s="96">
        <v>2.305</v>
      </c>
      <c r="O37" s="103"/>
    </row>
    <row r="38" spans="1:15" ht="12.75">
      <c r="A38" s="47">
        <v>1.44</v>
      </c>
      <c r="B38" s="55">
        <f t="shared" si="0"/>
        <v>1791.808</v>
      </c>
      <c r="C38" s="50">
        <f t="shared" si="2"/>
        <v>1836.6031999999998</v>
      </c>
      <c r="D38" s="56">
        <f t="shared" si="3"/>
        <v>13.749000000000024</v>
      </c>
      <c r="E38" s="50">
        <f t="shared" si="4"/>
        <v>55</v>
      </c>
      <c r="F38" s="50">
        <f t="shared" si="4"/>
        <v>1216.5</v>
      </c>
      <c r="G38" s="50">
        <f t="shared" si="4"/>
        <v>-74</v>
      </c>
      <c r="H38" s="57">
        <v>0.558</v>
      </c>
      <c r="I38" s="57">
        <v>1.002</v>
      </c>
      <c r="J38" s="57">
        <v>0.7532</v>
      </c>
      <c r="K38" s="57">
        <v>16.7432</v>
      </c>
      <c r="L38" s="58">
        <v>28.2622</v>
      </c>
      <c r="M38" s="95">
        <v>0.64</v>
      </c>
      <c r="N38" s="96">
        <v>2.29</v>
      </c>
      <c r="O38" s="103"/>
    </row>
    <row r="39" spans="1:15" ht="12.75">
      <c r="A39" s="47">
        <v>1.45</v>
      </c>
      <c r="B39" s="55">
        <f t="shared" si="0"/>
        <v>1805.5625</v>
      </c>
      <c r="C39" s="50">
        <f t="shared" si="2"/>
        <v>1850.7015625</v>
      </c>
      <c r="D39" s="56">
        <f t="shared" si="3"/>
        <v>13.759999999999991</v>
      </c>
      <c r="E39" s="50">
        <f t="shared" si="4"/>
        <v>55</v>
      </c>
      <c r="F39" s="50">
        <f t="shared" si="4"/>
        <v>1216.5</v>
      </c>
      <c r="G39" s="50">
        <f t="shared" si="4"/>
        <v>-74</v>
      </c>
      <c r="H39" s="57">
        <v>0.5425</v>
      </c>
      <c r="I39" s="57">
        <v>0.9975</v>
      </c>
      <c r="J39" s="57">
        <v>0.7585</v>
      </c>
      <c r="K39" s="57">
        <v>16.649</v>
      </c>
      <c r="L39" s="58">
        <v>28.292</v>
      </c>
      <c r="M39" s="95">
        <v>0.65</v>
      </c>
      <c r="N39" s="96">
        <v>2.275</v>
      </c>
      <c r="O39" s="103"/>
    </row>
    <row r="40" spans="1:15" ht="12.75">
      <c r="A40" s="47">
        <v>1.46</v>
      </c>
      <c r="B40" s="55">
        <f t="shared" si="0"/>
        <v>1819.328</v>
      </c>
      <c r="C40" s="50">
        <f t="shared" si="2"/>
        <v>1864.8111999999999</v>
      </c>
      <c r="D40" s="56">
        <f t="shared" si="3"/>
        <v>13.770999999999958</v>
      </c>
      <c r="E40" s="50">
        <f t="shared" si="4"/>
        <v>55</v>
      </c>
      <c r="F40" s="50">
        <f t="shared" si="4"/>
        <v>1216.5</v>
      </c>
      <c r="G40" s="50">
        <f t="shared" si="4"/>
        <v>-74</v>
      </c>
      <c r="H40" s="57">
        <v>0.527</v>
      </c>
      <c r="I40" s="57">
        <v>0.993</v>
      </c>
      <c r="J40" s="57">
        <v>0.7638</v>
      </c>
      <c r="K40" s="57">
        <v>16.5548</v>
      </c>
      <c r="L40" s="58">
        <v>28.3218</v>
      </c>
      <c r="M40" s="95">
        <v>0.66</v>
      </c>
      <c r="N40" s="96">
        <v>2.26</v>
      </c>
      <c r="O40" s="103"/>
    </row>
    <row r="41" spans="1:15" ht="12.75">
      <c r="A41" s="47">
        <v>1.47</v>
      </c>
      <c r="B41" s="55">
        <f t="shared" si="0"/>
        <v>1833.1045</v>
      </c>
      <c r="C41" s="50">
        <f t="shared" si="2"/>
        <v>1878.9321124999997</v>
      </c>
      <c r="D41" s="56">
        <f t="shared" si="3"/>
        <v>13.782000000000039</v>
      </c>
      <c r="E41" s="50">
        <f t="shared" si="4"/>
        <v>55</v>
      </c>
      <c r="F41" s="50">
        <f t="shared" si="4"/>
        <v>1216.5</v>
      </c>
      <c r="G41" s="50">
        <f t="shared" si="4"/>
        <v>-74</v>
      </c>
      <c r="H41" s="57">
        <v>0.5115</v>
      </c>
      <c r="I41" s="57">
        <v>0.9885</v>
      </c>
      <c r="J41" s="57">
        <v>0.7691</v>
      </c>
      <c r="K41" s="57">
        <v>16.4606</v>
      </c>
      <c r="L41" s="58">
        <v>28.3516</v>
      </c>
      <c r="M41" s="95">
        <v>0.67</v>
      </c>
      <c r="N41" s="96">
        <v>2.245</v>
      </c>
      <c r="O41" s="103"/>
    </row>
    <row r="42" spans="1:15" ht="12.75">
      <c r="A42" s="47">
        <v>1.48</v>
      </c>
      <c r="B42" s="55">
        <f t="shared" si="0"/>
        <v>1846.892</v>
      </c>
      <c r="C42" s="50">
        <f t="shared" si="2"/>
        <v>1893.0643</v>
      </c>
      <c r="D42" s="56">
        <f t="shared" si="3"/>
        <v>13.793000000000006</v>
      </c>
      <c r="E42" s="50">
        <f t="shared" si="4"/>
        <v>55</v>
      </c>
      <c r="F42" s="50">
        <f t="shared" si="4"/>
        <v>1216.5</v>
      </c>
      <c r="G42" s="50">
        <f t="shared" si="4"/>
        <v>-74</v>
      </c>
      <c r="H42" s="57">
        <v>0.496</v>
      </c>
      <c r="I42" s="57">
        <v>0.984</v>
      </c>
      <c r="J42" s="57">
        <v>0.7744</v>
      </c>
      <c r="K42" s="57">
        <v>16.3664</v>
      </c>
      <c r="L42" s="58">
        <v>28.3814</v>
      </c>
      <c r="M42" s="95">
        <v>0.68</v>
      </c>
      <c r="N42" s="96">
        <v>2.23</v>
      </c>
      <c r="O42" s="103"/>
    </row>
    <row r="43" spans="1:15" ht="12.75">
      <c r="A43" s="47">
        <v>1.49</v>
      </c>
      <c r="B43" s="55">
        <f t="shared" si="0"/>
        <v>1860.6905</v>
      </c>
      <c r="C43" s="50">
        <f t="shared" si="2"/>
        <v>1907.2077624999997</v>
      </c>
      <c r="D43" s="56">
        <f t="shared" si="3"/>
        <v>13.803999999999974</v>
      </c>
      <c r="E43" s="50">
        <f t="shared" si="4"/>
        <v>55</v>
      </c>
      <c r="F43" s="50">
        <f t="shared" si="4"/>
        <v>1216.5</v>
      </c>
      <c r="G43" s="50">
        <f t="shared" si="4"/>
        <v>-74</v>
      </c>
      <c r="H43" s="57">
        <v>0.4805</v>
      </c>
      <c r="I43" s="57">
        <v>0.9795</v>
      </c>
      <c r="J43" s="57">
        <v>0.7797</v>
      </c>
      <c r="K43" s="57">
        <v>16.2722</v>
      </c>
      <c r="L43" s="58">
        <v>28.4112</v>
      </c>
      <c r="M43" s="95">
        <v>0.69</v>
      </c>
      <c r="N43" s="96">
        <v>2.215</v>
      </c>
      <c r="O43" s="103"/>
    </row>
    <row r="44" spans="1:15" ht="12.75">
      <c r="A44" s="46">
        <v>1.5</v>
      </c>
      <c r="B44" s="51">
        <f t="shared" si="0"/>
        <v>1874.5</v>
      </c>
      <c r="C44" s="52">
        <f t="shared" si="2"/>
        <v>1921.3624999999997</v>
      </c>
      <c r="D44" s="53">
        <f t="shared" si="3"/>
        <v>13.815000000000055</v>
      </c>
      <c r="E44" s="52">
        <f t="shared" si="4"/>
        <v>55</v>
      </c>
      <c r="F44" s="52">
        <f t="shared" si="4"/>
        <v>1216.5</v>
      </c>
      <c r="G44" s="52">
        <f t="shared" si="4"/>
        <v>-74</v>
      </c>
      <c r="H44" s="52">
        <v>0.465</v>
      </c>
      <c r="I44" s="52">
        <v>0.975</v>
      </c>
      <c r="J44" s="52">
        <v>0.785</v>
      </c>
      <c r="K44" s="52">
        <v>16.178</v>
      </c>
      <c r="L44" s="54">
        <v>28.441</v>
      </c>
      <c r="M44" s="95">
        <v>0.7</v>
      </c>
      <c r="N44" s="96">
        <v>2.2</v>
      </c>
      <c r="O44" s="103"/>
    </row>
    <row r="45" spans="1:15" ht="12.75">
      <c r="A45" s="47">
        <v>1.51</v>
      </c>
      <c r="B45" s="55">
        <f t="shared" si="0"/>
        <v>1888.3205</v>
      </c>
      <c r="C45" s="50">
        <f t="shared" si="2"/>
        <v>1935.5285124999998</v>
      </c>
      <c r="D45" s="56">
        <f t="shared" si="3"/>
        <v>13.826000000000022</v>
      </c>
      <c r="E45" s="50">
        <f t="shared" si="4"/>
        <v>55</v>
      </c>
      <c r="F45" s="50">
        <f t="shared" si="4"/>
        <v>1216.5</v>
      </c>
      <c r="G45" s="50">
        <f t="shared" si="4"/>
        <v>-74</v>
      </c>
      <c r="H45" s="57">
        <v>0.4495</v>
      </c>
      <c r="I45" s="57">
        <v>0.9705</v>
      </c>
      <c r="J45" s="57">
        <v>0.7902</v>
      </c>
      <c r="K45" s="57">
        <v>16.0837</v>
      </c>
      <c r="L45" s="58">
        <v>28.4802</v>
      </c>
      <c r="M45" s="95">
        <v>0.71</v>
      </c>
      <c r="N45" s="96">
        <v>2.185</v>
      </c>
      <c r="O45" s="103"/>
    </row>
    <row r="46" spans="1:15" ht="12.75">
      <c r="A46" s="47">
        <v>1.52</v>
      </c>
      <c r="B46" s="55">
        <f t="shared" si="0"/>
        <v>1902.152</v>
      </c>
      <c r="C46" s="50">
        <f t="shared" si="2"/>
        <v>1949.7058</v>
      </c>
      <c r="D46" s="56">
        <f t="shared" si="3"/>
        <v>13.837000000000103</v>
      </c>
      <c r="E46" s="50">
        <f t="shared" si="4"/>
        <v>55</v>
      </c>
      <c r="F46" s="50">
        <f t="shared" si="4"/>
        <v>1216.5</v>
      </c>
      <c r="G46" s="50">
        <f t="shared" si="4"/>
        <v>-74</v>
      </c>
      <c r="H46" s="57">
        <v>0.434</v>
      </c>
      <c r="I46" s="57">
        <v>0.966</v>
      </c>
      <c r="J46" s="57">
        <v>0.7954</v>
      </c>
      <c r="K46" s="57">
        <v>15.9894</v>
      </c>
      <c r="L46" s="58">
        <v>28.5194</v>
      </c>
      <c r="M46" s="95">
        <v>0.72</v>
      </c>
      <c r="N46" s="96">
        <v>2.17</v>
      </c>
      <c r="O46" s="103"/>
    </row>
    <row r="47" spans="1:15" ht="12.75">
      <c r="A47" s="47">
        <v>1.53</v>
      </c>
      <c r="B47" s="55">
        <f t="shared" si="0"/>
        <v>1915.9945000000002</v>
      </c>
      <c r="C47" s="50">
        <f t="shared" si="2"/>
        <v>1963.8943625000002</v>
      </c>
      <c r="D47" s="56">
        <f t="shared" si="3"/>
        <v>13.847999999999956</v>
      </c>
      <c r="E47" s="50">
        <f t="shared" si="4"/>
        <v>55</v>
      </c>
      <c r="F47" s="50">
        <f t="shared" si="4"/>
        <v>1216.5</v>
      </c>
      <c r="G47" s="50">
        <f t="shared" si="4"/>
        <v>-74</v>
      </c>
      <c r="H47" s="57">
        <v>0.4185</v>
      </c>
      <c r="I47" s="57">
        <v>0.9615</v>
      </c>
      <c r="J47" s="57">
        <v>0.8006</v>
      </c>
      <c r="K47" s="57">
        <v>15.8951</v>
      </c>
      <c r="L47" s="58">
        <v>28.5586</v>
      </c>
      <c r="M47" s="95">
        <v>0.73</v>
      </c>
      <c r="N47" s="96">
        <v>2.155</v>
      </c>
      <c r="O47" s="103"/>
    </row>
    <row r="48" spans="1:15" ht="12.75">
      <c r="A48" s="47">
        <v>1.54</v>
      </c>
      <c r="B48" s="55">
        <f t="shared" si="0"/>
        <v>1929.848</v>
      </c>
      <c r="C48" s="50">
        <f t="shared" si="2"/>
        <v>1978.0941999999998</v>
      </c>
      <c r="D48" s="56">
        <f t="shared" si="3"/>
        <v>13.858999999999924</v>
      </c>
      <c r="E48" s="50">
        <f t="shared" si="4"/>
        <v>55</v>
      </c>
      <c r="F48" s="50">
        <f t="shared" si="4"/>
        <v>1216.5</v>
      </c>
      <c r="G48" s="50">
        <f t="shared" si="4"/>
        <v>-74</v>
      </c>
      <c r="H48" s="57">
        <v>0.403</v>
      </c>
      <c r="I48" s="57">
        <v>0.957</v>
      </c>
      <c r="J48" s="57">
        <v>0.8058</v>
      </c>
      <c r="K48" s="57">
        <v>15.8008</v>
      </c>
      <c r="L48" s="58">
        <v>28.5978</v>
      </c>
      <c r="M48" s="95">
        <v>0.74</v>
      </c>
      <c r="N48" s="96">
        <v>2.14</v>
      </c>
      <c r="O48" s="103"/>
    </row>
    <row r="49" spans="1:15" ht="12.75">
      <c r="A49" s="47">
        <v>1.55</v>
      </c>
      <c r="B49" s="55">
        <f t="shared" si="0"/>
        <v>1943.7125</v>
      </c>
      <c r="C49" s="50">
        <f t="shared" si="2"/>
        <v>1992.3053125</v>
      </c>
      <c r="D49" s="56">
        <f t="shared" si="3"/>
        <v>13.870000000000005</v>
      </c>
      <c r="E49" s="50">
        <f t="shared" si="4"/>
        <v>55</v>
      </c>
      <c r="F49" s="50">
        <f t="shared" si="4"/>
        <v>1216.5</v>
      </c>
      <c r="G49" s="50">
        <f t="shared" si="4"/>
        <v>-74</v>
      </c>
      <c r="H49" s="57">
        <v>0.3875</v>
      </c>
      <c r="I49" s="57">
        <v>0.9525</v>
      </c>
      <c r="J49" s="57">
        <v>0.811</v>
      </c>
      <c r="K49" s="57">
        <v>15.7065</v>
      </c>
      <c r="L49" s="58">
        <v>28.637</v>
      </c>
      <c r="M49" s="95">
        <v>0.75</v>
      </c>
      <c r="N49" s="96">
        <v>2.125</v>
      </c>
      <c r="O49" s="103"/>
    </row>
    <row r="50" spans="1:15" ht="12.75">
      <c r="A50" s="47">
        <v>1.56</v>
      </c>
      <c r="B50" s="55">
        <f t="shared" si="0"/>
        <v>1957.588</v>
      </c>
      <c r="C50" s="50">
        <f t="shared" si="2"/>
        <v>2006.5276999999999</v>
      </c>
      <c r="D50" s="56">
        <f t="shared" si="3"/>
        <v>13.880999999999972</v>
      </c>
      <c r="E50" s="50">
        <f t="shared" si="4"/>
        <v>55</v>
      </c>
      <c r="F50" s="50">
        <f t="shared" si="4"/>
        <v>1216.5</v>
      </c>
      <c r="G50" s="50">
        <f t="shared" si="4"/>
        <v>-74</v>
      </c>
      <c r="H50" s="57">
        <v>0.372</v>
      </c>
      <c r="I50" s="57">
        <v>0.948</v>
      </c>
      <c r="J50" s="57">
        <v>0.8162</v>
      </c>
      <c r="K50" s="57">
        <v>15.6122</v>
      </c>
      <c r="L50" s="58">
        <v>28.6762</v>
      </c>
      <c r="M50" s="95">
        <v>0.76</v>
      </c>
      <c r="N50" s="96">
        <v>2.11</v>
      </c>
      <c r="O50" s="103"/>
    </row>
    <row r="51" spans="1:15" ht="12.75">
      <c r="A51" s="47">
        <v>1.57</v>
      </c>
      <c r="B51" s="55">
        <f t="shared" si="0"/>
        <v>1971.4745</v>
      </c>
      <c r="C51" s="50">
        <f t="shared" si="2"/>
        <v>2020.7613625</v>
      </c>
      <c r="D51" s="56">
        <f t="shared" si="3"/>
        <v>13.892000000000166</v>
      </c>
      <c r="E51" s="50">
        <f t="shared" si="4"/>
        <v>55</v>
      </c>
      <c r="F51" s="50">
        <f t="shared" si="4"/>
        <v>1216.5</v>
      </c>
      <c r="G51" s="50">
        <f t="shared" si="4"/>
        <v>-74</v>
      </c>
      <c r="H51" s="57">
        <v>0.3565</v>
      </c>
      <c r="I51" s="57">
        <v>0.9435</v>
      </c>
      <c r="J51" s="57">
        <v>0.8214</v>
      </c>
      <c r="K51" s="57">
        <v>15.5179</v>
      </c>
      <c r="L51" s="58">
        <v>28.7154</v>
      </c>
      <c r="M51" s="95">
        <v>0.77</v>
      </c>
      <c r="N51" s="96">
        <v>2.095</v>
      </c>
      <c r="O51" s="103"/>
    </row>
    <row r="52" spans="1:15" ht="12.75">
      <c r="A52" s="47">
        <v>1.58</v>
      </c>
      <c r="B52" s="55">
        <f t="shared" si="0"/>
        <v>1985.3720000000003</v>
      </c>
      <c r="C52" s="50">
        <f t="shared" si="2"/>
        <v>2035.0063000000002</v>
      </c>
      <c r="D52" s="56">
        <f t="shared" si="3"/>
        <v>13.903000000000134</v>
      </c>
      <c r="E52" s="50">
        <f t="shared" si="4"/>
        <v>55</v>
      </c>
      <c r="F52" s="50">
        <f t="shared" si="4"/>
        <v>1216.5</v>
      </c>
      <c r="G52" s="50">
        <f t="shared" si="4"/>
        <v>-74</v>
      </c>
      <c r="H52" s="57">
        <v>0.341</v>
      </c>
      <c r="I52" s="57">
        <v>0.939</v>
      </c>
      <c r="J52" s="57">
        <v>0.8266</v>
      </c>
      <c r="K52" s="57">
        <v>15.4236</v>
      </c>
      <c r="L52" s="58">
        <v>28.7546</v>
      </c>
      <c r="M52" s="95">
        <v>0.78</v>
      </c>
      <c r="N52" s="96">
        <v>2.08</v>
      </c>
      <c r="O52" s="103"/>
    </row>
    <row r="53" spans="1:15" ht="12.75">
      <c r="A53" s="47">
        <v>1.59</v>
      </c>
      <c r="B53" s="55">
        <f t="shared" si="0"/>
        <v>1999.2805000000003</v>
      </c>
      <c r="C53" s="50">
        <f t="shared" si="2"/>
        <v>2049.2625125</v>
      </c>
      <c r="D53" s="56">
        <f t="shared" si="3"/>
        <v>13.913999999999987</v>
      </c>
      <c r="E53" s="50">
        <f t="shared" si="4"/>
        <v>55</v>
      </c>
      <c r="F53" s="50">
        <f t="shared" si="4"/>
        <v>1216.5</v>
      </c>
      <c r="G53" s="50">
        <f t="shared" si="4"/>
        <v>-74</v>
      </c>
      <c r="H53" s="57">
        <v>0.3255</v>
      </c>
      <c r="I53" s="57">
        <v>0.9345</v>
      </c>
      <c r="J53" s="57">
        <v>0.8318</v>
      </c>
      <c r="K53" s="57">
        <v>15.3293</v>
      </c>
      <c r="L53" s="58">
        <v>28.7938</v>
      </c>
      <c r="M53" s="95">
        <v>0.79</v>
      </c>
      <c r="N53" s="96">
        <v>2.065</v>
      </c>
      <c r="O53" s="103"/>
    </row>
    <row r="54" spans="1:15" ht="12.75">
      <c r="A54" s="46">
        <v>1.6</v>
      </c>
      <c r="B54" s="51">
        <f t="shared" si="0"/>
        <v>2013.2000000000003</v>
      </c>
      <c r="C54" s="52">
        <f t="shared" si="2"/>
        <v>2063.53</v>
      </c>
      <c r="D54" s="53">
        <f t="shared" si="3"/>
        <v>13.924999999999955</v>
      </c>
      <c r="E54" s="52">
        <f t="shared" si="4"/>
        <v>55</v>
      </c>
      <c r="F54" s="52">
        <f t="shared" si="4"/>
        <v>1216.5</v>
      </c>
      <c r="G54" s="52">
        <f t="shared" si="4"/>
        <v>-74</v>
      </c>
      <c r="H54" s="52">
        <v>0.31</v>
      </c>
      <c r="I54" s="52">
        <v>0.93</v>
      </c>
      <c r="J54" s="52">
        <v>0.837</v>
      </c>
      <c r="K54" s="52">
        <v>15.235</v>
      </c>
      <c r="L54" s="54">
        <v>28.833</v>
      </c>
      <c r="M54" s="95">
        <v>0.8</v>
      </c>
      <c r="N54" s="96">
        <v>2.05</v>
      </c>
      <c r="O54" s="103"/>
    </row>
    <row r="55" spans="1:15" ht="12.75">
      <c r="A55" s="47">
        <v>1.61</v>
      </c>
      <c r="B55" s="55">
        <f t="shared" si="0"/>
        <v>2027.1305000000002</v>
      </c>
      <c r="C55" s="50">
        <f t="shared" si="2"/>
        <v>2077.8087625</v>
      </c>
      <c r="D55" s="56">
        <f t="shared" si="3"/>
        <v>13.935999999999922</v>
      </c>
      <c r="E55" s="50">
        <f t="shared" si="4"/>
        <v>55</v>
      </c>
      <c r="F55" s="50">
        <f t="shared" si="4"/>
        <v>1216.5</v>
      </c>
      <c r="G55" s="50">
        <f t="shared" si="4"/>
        <v>-74</v>
      </c>
      <c r="H55" s="57">
        <v>0.29</v>
      </c>
      <c r="I55" s="57">
        <v>0.925</v>
      </c>
      <c r="J55" s="57">
        <v>0.8423</v>
      </c>
      <c r="K55" s="57">
        <v>15.1666</v>
      </c>
      <c r="L55" s="58">
        <v>28.8664</v>
      </c>
      <c r="M55" s="95">
        <v>0.81</v>
      </c>
      <c r="N55" s="96">
        <v>2.035</v>
      </c>
      <c r="O55" s="103"/>
    </row>
    <row r="56" spans="1:15" ht="12.75">
      <c r="A56" s="47">
        <v>1.62</v>
      </c>
      <c r="B56" s="55">
        <f t="shared" si="0"/>
        <v>2041.0720000000001</v>
      </c>
      <c r="C56" s="50">
        <f t="shared" si="2"/>
        <v>2092.0987999999998</v>
      </c>
      <c r="D56" s="56">
        <f t="shared" si="3"/>
        <v>13.946999999999889</v>
      </c>
      <c r="E56" s="50">
        <f t="shared" si="4"/>
        <v>55</v>
      </c>
      <c r="F56" s="50">
        <f t="shared" si="4"/>
        <v>1216.5</v>
      </c>
      <c r="G56" s="50">
        <f t="shared" si="4"/>
        <v>-74</v>
      </c>
      <c r="H56" s="57">
        <v>0.27</v>
      </c>
      <c r="I56" s="57">
        <v>0.92</v>
      </c>
      <c r="J56" s="57">
        <v>0.8476</v>
      </c>
      <c r="K56" s="57">
        <v>15.0982</v>
      </c>
      <c r="L56" s="58">
        <v>28.8998</v>
      </c>
      <c r="M56" s="95">
        <v>0.82</v>
      </c>
      <c r="N56" s="96">
        <v>2.02</v>
      </c>
      <c r="O56" s="103"/>
    </row>
    <row r="57" spans="1:15" ht="12.75">
      <c r="A57" s="47">
        <v>1.63</v>
      </c>
      <c r="B57" s="55">
        <f t="shared" si="0"/>
        <v>2055.0245</v>
      </c>
      <c r="C57" s="50">
        <f t="shared" si="2"/>
        <v>2106.4001125</v>
      </c>
      <c r="D57" s="56">
        <f t="shared" si="3"/>
        <v>13.957999999999856</v>
      </c>
      <c r="E57" s="50">
        <f t="shared" si="4"/>
        <v>55</v>
      </c>
      <c r="F57" s="50">
        <f t="shared" si="4"/>
        <v>1216.5</v>
      </c>
      <c r="G57" s="50">
        <f t="shared" si="4"/>
        <v>-74</v>
      </c>
      <c r="H57" s="57">
        <v>0.25</v>
      </c>
      <c r="I57" s="57">
        <v>0.915</v>
      </c>
      <c r="J57" s="57">
        <v>0.8529</v>
      </c>
      <c r="K57" s="57">
        <v>15.0298</v>
      </c>
      <c r="L57" s="58">
        <v>28.9332</v>
      </c>
      <c r="M57" s="95">
        <v>0.83</v>
      </c>
      <c r="N57" s="96">
        <v>2.005</v>
      </c>
      <c r="O57" s="103"/>
    </row>
    <row r="58" spans="1:15" ht="12.75">
      <c r="A58" s="47">
        <v>1.64</v>
      </c>
      <c r="B58" s="55">
        <f t="shared" si="0"/>
        <v>2068.988</v>
      </c>
      <c r="C58" s="50">
        <f t="shared" si="2"/>
        <v>2120.7126999999996</v>
      </c>
      <c r="D58" s="56">
        <f t="shared" si="3"/>
        <v>13.969000000000051</v>
      </c>
      <c r="E58" s="50">
        <f t="shared" si="4"/>
        <v>55</v>
      </c>
      <c r="F58" s="50">
        <f t="shared" si="4"/>
        <v>1216.5</v>
      </c>
      <c r="G58" s="50">
        <f t="shared" si="4"/>
        <v>-74</v>
      </c>
      <c r="H58" s="57">
        <v>0.23</v>
      </c>
      <c r="I58" s="57">
        <v>0.91</v>
      </c>
      <c r="J58" s="57">
        <v>0.8582</v>
      </c>
      <c r="K58" s="57">
        <v>14.9614</v>
      </c>
      <c r="L58" s="58">
        <v>28.9666</v>
      </c>
      <c r="M58" s="95">
        <v>0.84</v>
      </c>
      <c r="N58" s="96">
        <v>1.99</v>
      </c>
      <c r="O58" s="103"/>
    </row>
    <row r="59" spans="1:15" ht="12.75">
      <c r="A59" s="47">
        <v>1.65</v>
      </c>
      <c r="B59" s="55">
        <f t="shared" si="0"/>
        <v>2082.9625</v>
      </c>
      <c r="C59" s="50">
        <f t="shared" si="2"/>
        <v>2135.0365625</v>
      </c>
      <c r="D59" s="56">
        <f t="shared" si="3"/>
        <v>13.980000000000018</v>
      </c>
      <c r="E59" s="50">
        <f t="shared" si="4"/>
        <v>55</v>
      </c>
      <c r="F59" s="50">
        <f t="shared" si="4"/>
        <v>1216.5</v>
      </c>
      <c r="G59" s="50">
        <f t="shared" si="4"/>
        <v>-74</v>
      </c>
      <c r="H59" s="57">
        <v>0.21</v>
      </c>
      <c r="I59" s="57">
        <v>0.905</v>
      </c>
      <c r="J59" s="57">
        <v>0.8635</v>
      </c>
      <c r="K59" s="57">
        <v>14.893</v>
      </c>
      <c r="L59" s="58">
        <v>29</v>
      </c>
      <c r="M59" s="95">
        <v>0.85</v>
      </c>
      <c r="N59" s="96">
        <v>1.975</v>
      </c>
      <c r="O59" s="103"/>
    </row>
    <row r="60" spans="1:15" ht="12.75">
      <c r="A60" s="47">
        <v>1.66</v>
      </c>
      <c r="B60" s="55">
        <f t="shared" si="0"/>
        <v>2096.948</v>
      </c>
      <c r="C60" s="50">
        <f t="shared" si="2"/>
        <v>2149.3716999999997</v>
      </c>
      <c r="D60" s="56">
        <f t="shared" si="3"/>
        <v>13.990999999999758</v>
      </c>
      <c r="E60" s="50">
        <f t="shared" si="4"/>
        <v>55</v>
      </c>
      <c r="F60" s="50">
        <f t="shared" si="4"/>
        <v>1216.5</v>
      </c>
      <c r="G60" s="50">
        <f t="shared" si="4"/>
        <v>-74</v>
      </c>
      <c r="H60" s="57">
        <v>0.19</v>
      </c>
      <c r="I60" s="57">
        <v>0.9</v>
      </c>
      <c r="J60" s="57">
        <v>0.8688</v>
      </c>
      <c r="K60" s="57">
        <v>14.8246</v>
      </c>
      <c r="L60" s="58">
        <v>29.0334</v>
      </c>
      <c r="M60" s="95">
        <v>0.86</v>
      </c>
      <c r="N60" s="96">
        <v>1.96</v>
      </c>
      <c r="O60" s="103"/>
    </row>
    <row r="61" spans="1:15" ht="12.75">
      <c r="A61" s="47">
        <v>1.67</v>
      </c>
      <c r="B61" s="55">
        <f t="shared" si="0"/>
        <v>2110.9444999999996</v>
      </c>
      <c r="C61" s="50">
        <f t="shared" si="2"/>
        <v>2163.7181124999993</v>
      </c>
      <c r="D61" s="56">
        <f t="shared" si="3"/>
        <v>14.00200000000018</v>
      </c>
      <c r="E61" s="50">
        <f t="shared" si="4"/>
        <v>55</v>
      </c>
      <c r="F61" s="50">
        <f t="shared" si="4"/>
        <v>1216.5</v>
      </c>
      <c r="G61" s="50">
        <f t="shared" si="4"/>
        <v>-74</v>
      </c>
      <c r="H61" s="57">
        <v>0.17</v>
      </c>
      <c r="I61" s="57">
        <v>0.895</v>
      </c>
      <c r="J61" s="57">
        <v>0.8741</v>
      </c>
      <c r="K61" s="57">
        <v>14.7562</v>
      </c>
      <c r="L61" s="58">
        <v>29.0668</v>
      </c>
      <c r="M61" s="95">
        <v>0.87</v>
      </c>
      <c r="N61" s="96">
        <v>1.945</v>
      </c>
      <c r="O61" s="103"/>
    </row>
    <row r="62" spans="1:15" ht="12.75">
      <c r="A62" s="47">
        <v>1.68</v>
      </c>
      <c r="B62" s="55">
        <f t="shared" si="0"/>
        <v>2124.952</v>
      </c>
      <c r="C62" s="50">
        <f t="shared" si="2"/>
        <v>2178.0758</v>
      </c>
      <c r="D62" s="56">
        <f t="shared" si="3"/>
        <v>14.013000000000147</v>
      </c>
      <c r="E62" s="50">
        <f t="shared" si="4"/>
        <v>55</v>
      </c>
      <c r="F62" s="50">
        <f t="shared" si="4"/>
        <v>1216.5</v>
      </c>
      <c r="G62" s="50">
        <f t="shared" si="4"/>
        <v>-74</v>
      </c>
      <c r="H62" s="57">
        <v>0.15</v>
      </c>
      <c r="I62" s="57">
        <v>0.89</v>
      </c>
      <c r="J62" s="57">
        <v>0.8794</v>
      </c>
      <c r="K62" s="57">
        <v>14.6878</v>
      </c>
      <c r="L62" s="58">
        <v>29.1002</v>
      </c>
      <c r="M62" s="95">
        <v>0.88</v>
      </c>
      <c r="N62" s="96">
        <v>1.93</v>
      </c>
      <c r="O62" s="103"/>
    </row>
    <row r="63" spans="1:15" ht="12.75">
      <c r="A63" s="47">
        <v>1.69</v>
      </c>
      <c r="B63" s="55">
        <f t="shared" si="0"/>
        <v>2138.9705</v>
      </c>
      <c r="C63" s="50">
        <f t="shared" si="2"/>
        <v>2192.4447625</v>
      </c>
      <c r="D63" s="56">
        <f t="shared" si="3"/>
        <v>14.02399999999966</v>
      </c>
      <c r="E63" s="50">
        <f t="shared" si="4"/>
        <v>55</v>
      </c>
      <c r="F63" s="50">
        <f t="shared" si="4"/>
        <v>1216.5</v>
      </c>
      <c r="G63" s="50">
        <f t="shared" si="4"/>
        <v>-74</v>
      </c>
      <c r="H63" s="57">
        <v>0.13</v>
      </c>
      <c r="I63" s="57">
        <v>0.885</v>
      </c>
      <c r="J63" s="57">
        <v>0.8847</v>
      </c>
      <c r="K63" s="57">
        <v>14.6194</v>
      </c>
      <c r="L63" s="58">
        <v>29.1336</v>
      </c>
      <c r="M63" s="95">
        <v>0.89</v>
      </c>
      <c r="N63" s="96">
        <v>1.915</v>
      </c>
      <c r="O63" s="103"/>
    </row>
    <row r="64" spans="1:15" ht="12.75">
      <c r="A64" s="46">
        <v>1.7</v>
      </c>
      <c r="B64" s="51">
        <f t="shared" si="0"/>
        <v>2152.9999999999995</v>
      </c>
      <c r="C64" s="52">
        <f t="shared" si="2"/>
        <v>2206.8249999999994</v>
      </c>
      <c r="D64" s="53">
        <f t="shared" si="3"/>
        <v>14.035000000000082</v>
      </c>
      <c r="E64" s="52">
        <f t="shared" si="4"/>
        <v>55</v>
      </c>
      <c r="F64" s="52">
        <f t="shared" si="4"/>
        <v>1216.5</v>
      </c>
      <c r="G64" s="52">
        <f t="shared" si="4"/>
        <v>-74</v>
      </c>
      <c r="H64" s="52">
        <v>0.11</v>
      </c>
      <c r="I64" s="52">
        <v>0.88</v>
      </c>
      <c r="J64" s="52">
        <v>0.89</v>
      </c>
      <c r="K64" s="52">
        <v>14.551</v>
      </c>
      <c r="L64" s="54">
        <v>29.167</v>
      </c>
      <c r="M64" s="95">
        <v>0.9</v>
      </c>
      <c r="N64" s="96">
        <v>1.9</v>
      </c>
      <c r="O64" s="103"/>
    </row>
    <row r="65" spans="1:15" ht="12.75">
      <c r="A65" s="47">
        <v>1.71</v>
      </c>
      <c r="B65" s="55">
        <f t="shared" si="0"/>
        <v>2167.0405</v>
      </c>
      <c r="C65" s="50">
        <f t="shared" si="2"/>
        <v>2221.2165124999997</v>
      </c>
      <c r="D65" s="56">
        <f t="shared" si="3"/>
        <v>14.046000000000276</v>
      </c>
      <c r="E65" s="50">
        <f t="shared" si="4"/>
        <v>55</v>
      </c>
      <c r="F65" s="50">
        <f t="shared" si="4"/>
        <v>1216.5</v>
      </c>
      <c r="G65" s="50">
        <f t="shared" si="4"/>
        <v>-74</v>
      </c>
      <c r="H65" s="57">
        <v>0.09</v>
      </c>
      <c r="I65" s="57">
        <v>0.875</v>
      </c>
      <c r="J65" s="57">
        <v>0.8953</v>
      </c>
      <c r="K65" s="57">
        <v>14.4825</v>
      </c>
      <c r="L65" s="58">
        <v>29.1947</v>
      </c>
      <c r="M65" s="95">
        <v>0.91</v>
      </c>
      <c r="N65" s="96">
        <v>1.885</v>
      </c>
      <c r="O65" s="103"/>
    </row>
    <row r="66" spans="1:15" ht="12.75">
      <c r="A66" s="47">
        <v>1.72</v>
      </c>
      <c r="B66" s="55">
        <f t="shared" si="0"/>
        <v>2181.092</v>
      </c>
      <c r="C66" s="50">
        <f t="shared" si="2"/>
        <v>2235.6193</v>
      </c>
      <c r="D66" s="56">
        <f t="shared" si="3"/>
        <v>14.057000000000016</v>
      </c>
      <c r="E66" s="50">
        <f t="shared" si="4"/>
        <v>55</v>
      </c>
      <c r="F66" s="50">
        <f t="shared" si="4"/>
        <v>1216.5</v>
      </c>
      <c r="G66" s="50">
        <f t="shared" si="4"/>
        <v>-74</v>
      </c>
      <c r="H66" s="57">
        <v>0.07</v>
      </c>
      <c r="I66" s="57">
        <v>0.87</v>
      </c>
      <c r="J66" s="57">
        <v>0.9006</v>
      </c>
      <c r="K66" s="57">
        <v>14.414</v>
      </c>
      <c r="L66" s="58">
        <v>29.2224</v>
      </c>
      <c r="M66" s="95">
        <v>0.92</v>
      </c>
      <c r="N66" s="96">
        <v>1.87</v>
      </c>
      <c r="O66" s="103"/>
    </row>
    <row r="67" spans="1:15" ht="12.75">
      <c r="A67" s="47">
        <v>1.73</v>
      </c>
      <c r="B67" s="55">
        <f t="shared" si="0"/>
        <v>2195.1545</v>
      </c>
      <c r="C67" s="50">
        <f t="shared" si="2"/>
        <v>2250.0333625</v>
      </c>
      <c r="D67" s="56">
        <f t="shared" si="3"/>
        <v>14.067999999999984</v>
      </c>
      <c r="E67" s="50">
        <f t="shared" si="4"/>
        <v>55</v>
      </c>
      <c r="F67" s="50">
        <f t="shared" si="4"/>
        <v>1216.5</v>
      </c>
      <c r="G67" s="50">
        <f t="shared" si="4"/>
        <v>-74</v>
      </c>
      <c r="H67" s="57">
        <v>0.05</v>
      </c>
      <c r="I67" s="57">
        <v>0.865</v>
      </c>
      <c r="J67" s="57">
        <v>0.9059</v>
      </c>
      <c r="K67" s="57">
        <v>14.3455</v>
      </c>
      <c r="L67" s="58">
        <v>29.2501</v>
      </c>
      <c r="M67" s="95">
        <v>0.93</v>
      </c>
      <c r="N67" s="96">
        <v>1.855</v>
      </c>
      <c r="O67" s="103"/>
    </row>
    <row r="68" spans="1:15" ht="12.75">
      <c r="A68" s="47">
        <v>1.74</v>
      </c>
      <c r="B68" s="55">
        <f aca="true" t="shared" si="8" ref="B68:B131">E68*A68^2+F68*A68+G68</f>
        <v>2209.228</v>
      </c>
      <c r="C68" s="50">
        <f t="shared" si="2"/>
        <v>2264.4586999999997</v>
      </c>
      <c r="D68" s="56">
        <f t="shared" si="3"/>
        <v>14.07899999999995</v>
      </c>
      <c r="E68" s="50">
        <f t="shared" si="4"/>
        <v>55</v>
      </c>
      <c r="F68" s="50">
        <f t="shared" si="4"/>
        <v>1216.5</v>
      </c>
      <c r="G68" s="50">
        <f t="shared" si="4"/>
        <v>-74</v>
      </c>
      <c r="H68" s="57">
        <v>0.03</v>
      </c>
      <c r="I68" s="57">
        <v>0.86</v>
      </c>
      <c r="J68" s="57">
        <v>0.9112</v>
      </c>
      <c r="K68" s="57">
        <v>14.277</v>
      </c>
      <c r="L68" s="58">
        <v>29.2778</v>
      </c>
      <c r="M68" s="95">
        <v>0.94</v>
      </c>
      <c r="N68" s="96">
        <v>1.84</v>
      </c>
      <c r="O68" s="103"/>
    </row>
    <row r="69" spans="1:15" ht="12.75">
      <c r="A69" s="47">
        <v>1.75</v>
      </c>
      <c r="B69" s="55">
        <f t="shared" si="8"/>
        <v>2223.3125</v>
      </c>
      <c r="C69" s="50">
        <f t="shared" si="2"/>
        <v>2278.8953125</v>
      </c>
      <c r="D69" s="56">
        <f t="shared" si="3"/>
        <v>14.089999999999918</v>
      </c>
      <c r="E69" s="50">
        <f t="shared" si="4"/>
        <v>55</v>
      </c>
      <c r="F69" s="50">
        <f t="shared" si="4"/>
        <v>1216.5</v>
      </c>
      <c r="G69" s="50">
        <f t="shared" si="4"/>
        <v>-74</v>
      </c>
      <c r="H69" s="57">
        <v>0.01</v>
      </c>
      <c r="I69" s="57">
        <v>0.855</v>
      </c>
      <c r="J69" s="57">
        <v>0.9165</v>
      </c>
      <c r="K69" s="57">
        <v>14.2085</v>
      </c>
      <c r="L69" s="58">
        <v>29.3055</v>
      </c>
      <c r="M69" s="95">
        <v>0.95</v>
      </c>
      <c r="N69" s="96">
        <v>1.825</v>
      </c>
      <c r="O69" s="103"/>
    </row>
    <row r="70" spans="1:15" ht="12.75">
      <c r="A70" s="47">
        <v>1.76</v>
      </c>
      <c r="B70" s="55">
        <f t="shared" si="8"/>
        <v>2237.408</v>
      </c>
      <c r="C70" s="50">
        <f aca="true" t="shared" si="9" ref="C70:C133">B70*1.025</f>
        <v>2293.3432</v>
      </c>
      <c r="D70" s="56">
        <f aca="true" t="shared" si="10" ref="D70:D133">(B71-B69)/2</f>
        <v>14.100999999999885</v>
      </c>
      <c r="E70" s="50">
        <f aca="true" t="shared" si="11" ref="E70:G82">E69</f>
        <v>55</v>
      </c>
      <c r="F70" s="50">
        <f t="shared" si="11"/>
        <v>1216.5</v>
      </c>
      <c r="G70" s="50">
        <f t="shared" si="11"/>
        <v>-74</v>
      </c>
      <c r="H70" s="57">
        <v>-0.01</v>
      </c>
      <c r="I70" s="57">
        <v>0.85</v>
      </c>
      <c r="J70" s="57">
        <v>0.9218</v>
      </c>
      <c r="K70" s="57">
        <v>14.14</v>
      </c>
      <c r="L70" s="58">
        <v>29.3332</v>
      </c>
      <c r="M70" s="95">
        <v>0.96</v>
      </c>
      <c r="N70" s="96">
        <v>1.81</v>
      </c>
      <c r="O70" s="103"/>
    </row>
    <row r="71" spans="1:15" ht="12.75">
      <c r="A71" s="47">
        <v>1.77</v>
      </c>
      <c r="B71" s="55">
        <f t="shared" si="8"/>
        <v>2251.5144999999998</v>
      </c>
      <c r="C71" s="50">
        <f t="shared" si="9"/>
        <v>2307.8023624999996</v>
      </c>
      <c r="D71" s="56">
        <f t="shared" si="10"/>
        <v>14.11200000000008</v>
      </c>
      <c r="E71" s="50">
        <f t="shared" si="11"/>
        <v>55</v>
      </c>
      <c r="F71" s="50">
        <f t="shared" si="11"/>
        <v>1216.5</v>
      </c>
      <c r="G71" s="50">
        <f t="shared" si="11"/>
        <v>-74</v>
      </c>
      <c r="H71" s="57">
        <v>-0.03</v>
      </c>
      <c r="I71" s="57">
        <v>0.845</v>
      </c>
      <c r="J71" s="57">
        <v>0.9271</v>
      </c>
      <c r="K71" s="57">
        <v>14.0715</v>
      </c>
      <c r="L71" s="58">
        <v>29.3609</v>
      </c>
      <c r="M71" s="95">
        <v>0.97</v>
      </c>
      <c r="N71" s="96">
        <v>1.795</v>
      </c>
      <c r="O71" s="103"/>
    </row>
    <row r="72" spans="1:15" ht="12.75">
      <c r="A72" s="47">
        <v>1.78</v>
      </c>
      <c r="B72" s="55">
        <f t="shared" si="8"/>
        <v>2265.632</v>
      </c>
      <c r="C72" s="50">
        <f t="shared" si="9"/>
        <v>2322.2727999999997</v>
      </c>
      <c r="D72" s="56">
        <f t="shared" si="10"/>
        <v>14.123000000000047</v>
      </c>
      <c r="E72" s="50">
        <f t="shared" si="11"/>
        <v>55</v>
      </c>
      <c r="F72" s="50">
        <f t="shared" si="11"/>
        <v>1216.5</v>
      </c>
      <c r="G72" s="50">
        <f t="shared" si="11"/>
        <v>-74</v>
      </c>
      <c r="H72" s="57">
        <v>-0.05</v>
      </c>
      <c r="I72" s="57">
        <v>0.84</v>
      </c>
      <c r="J72" s="57">
        <v>0.9324</v>
      </c>
      <c r="K72" s="57">
        <v>14.003</v>
      </c>
      <c r="L72" s="58">
        <v>29.3886</v>
      </c>
      <c r="M72" s="95">
        <v>0.98</v>
      </c>
      <c r="N72" s="96">
        <v>1.78</v>
      </c>
      <c r="O72" s="103"/>
    </row>
    <row r="73" spans="1:15" ht="12.75">
      <c r="A73" s="47">
        <v>1.79</v>
      </c>
      <c r="B73" s="55">
        <f t="shared" si="8"/>
        <v>2279.7605</v>
      </c>
      <c r="C73" s="50">
        <f t="shared" si="9"/>
        <v>2336.7545124999997</v>
      </c>
      <c r="D73" s="56">
        <f t="shared" si="10"/>
        <v>14.134000000000015</v>
      </c>
      <c r="E73" s="50">
        <f t="shared" si="11"/>
        <v>55</v>
      </c>
      <c r="F73" s="50">
        <f t="shared" si="11"/>
        <v>1216.5</v>
      </c>
      <c r="G73" s="50">
        <f t="shared" si="11"/>
        <v>-74</v>
      </c>
      <c r="H73" s="57">
        <v>-0.07</v>
      </c>
      <c r="I73" s="57">
        <v>0.835</v>
      </c>
      <c r="J73" s="57">
        <v>0.9377</v>
      </c>
      <c r="K73" s="57">
        <v>13.9345</v>
      </c>
      <c r="L73" s="58">
        <v>29.4163</v>
      </c>
      <c r="M73" s="95">
        <v>0.99</v>
      </c>
      <c r="N73" s="96">
        <v>1.765</v>
      </c>
      <c r="O73" s="103"/>
    </row>
    <row r="74" spans="1:15" ht="12.75">
      <c r="A74" s="46">
        <v>1.8</v>
      </c>
      <c r="B74" s="51">
        <f t="shared" si="8"/>
        <v>2293.9</v>
      </c>
      <c r="C74" s="52">
        <f t="shared" si="9"/>
        <v>2351.2475</v>
      </c>
      <c r="D74" s="53">
        <f t="shared" si="10"/>
        <v>14.14500000000021</v>
      </c>
      <c r="E74" s="52">
        <f t="shared" si="11"/>
        <v>55</v>
      </c>
      <c r="F74" s="52">
        <f t="shared" si="11"/>
        <v>1216.5</v>
      </c>
      <c r="G74" s="52">
        <f t="shared" si="11"/>
        <v>-74</v>
      </c>
      <c r="H74" s="52">
        <v>-0.09</v>
      </c>
      <c r="I74" s="52">
        <v>0.83</v>
      </c>
      <c r="J74" s="52">
        <v>0.943</v>
      </c>
      <c r="K74" s="52">
        <v>13.866</v>
      </c>
      <c r="L74" s="54">
        <v>29.444</v>
      </c>
      <c r="M74" s="95">
        <v>1</v>
      </c>
      <c r="N74" s="96">
        <v>1.75</v>
      </c>
      <c r="O74" s="103"/>
    </row>
    <row r="75" spans="1:15" ht="12.75">
      <c r="A75" s="47">
        <v>1.81</v>
      </c>
      <c r="B75" s="55">
        <f t="shared" si="8"/>
        <v>2308.0505000000003</v>
      </c>
      <c r="C75" s="50">
        <f t="shared" si="9"/>
        <v>2365.7517625</v>
      </c>
      <c r="D75" s="56">
        <f t="shared" si="10"/>
        <v>14.156000000000176</v>
      </c>
      <c r="E75" s="50">
        <f t="shared" si="11"/>
        <v>55</v>
      </c>
      <c r="F75" s="50">
        <f t="shared" si="11"/>
        <v>1216.5</v>
      </c>
      <c r="G75" s="50">
        <f t="shared" si="11"/>
        <v>-74</v>
      </c>
      <c r="H75" s="57">
        <v>-0.1055</v>
      </c>
      <c r="I75" s="57">
        <v>0.824</v>
      </c>
      <c r="J75" s="57">
        <v>0.9483</v>
      </c>
      <c r="K75" s="57">
        <v>13.8104</v>
      </c>
      <c r="L75" s="58">
        <v>29.4696</v>
      </c>
      <c r="M75" s="95">
        <v>1.01</v>
      </c>
      <c r="N75" s="96">
        <v>1.736</v>
      </c>
      <c r="O75" s="103"/>
    </row>
    <row r="76" spans="1:15" ht="12.75">
      <c r="A76" s="47">
        <v>1.82</v>
      </c>
      <c r="B76" s="55">
        <f t="shared" si="8"/>
        <v>2322.2120000000004</v>
      </c>
      <c r="C76" s="50">
        <f t="shared" si="9"/>
        <v>2380.2673000000004</v>
      </c>
      <c r="D76" s="56">
        <f t="shared" si="10"/>
        <v>14.166999999999916</v>
      </c>
      <c r="E76" s="50">
        <f t="shared" si="11"/>
        <v>55</v>
      </c>
      <c r="F76" s="50">
        <f t="shared" si="11"/>
        <v>1216.5</v>
      </c>
      <c r="G76" s="50">
        <f t="shared" si="11"/>
        <v>-74</v>
      </c>
      <c r="H76" s="57">
        <v>-0.121</v>
      </c>
      <c r="I76" s="57">
        <v>0.818</v>
      </c>
      <c r="J76" s="57">
        <v>0.9536</v>
      </c>
      <c r="K76" s="57">
        <v>13.7548</v>
      </c>
      <c r="L76" s="58">
        <v>29.4952</v>
      </c>
      <c r="M76" s="95">
        <v>1.02</v>
      </c>
      <c r="N76" s="96">
        <v>1.722</v>
      </c>
      <c r="O76" s="103"/>
    </row>
    <row r="77" spans="1:15" ht="12.75">
      <c r="A77" s="47">
        <v>1.83</v>
      </c>
      <c r="B77" s="55">
        <f t="shared" si="8"/>
        <v>2336.3845</v>
      </c>
      <c r="C77" s="50">
        <f t="shared" si="9"/>
        <v>2394.7941124999998</v>
      </c>
      <c r="D77" s="56">
        <f t="shared" si="10"/>
        <v>14.177999999999884</v>
      </c>
      <c r="E77" s="50">
        <f t="shared" si="11"/>
        <v>55</v>
      </c>
      <c r="F77" s="50">
        <f t="shared" si="11"/>
        <v>1216.5</v>
      </c>
      <c r="G77" s="50">
        <f t="shared" si="11"/>
        <v>-74</v>
      </c>
      <c r="H77" s="57">
        <v>-0.1365</v>
      </c>
      <c r="I77" s="57">
        <v>0.812</v>
      </c>
      <c r="J77" s="57">
        <v>0.9589</v>
      </c>
      <c r="K77" s="57">
        <v>13.6992</v>
      </c>
      <c r="L77" s="58">
        <v>29.5208</v>
      </c>
      <c r="M77" s="95">
        <v>1.03</v>
      </c>
      <c r="N77" s="96">
        <v>1.708</v>
      </c>
      <c r="O77" s="103"/>
    </row>
    <row r="78" spans="1:15" ht="12.75">
      <c r="A78" s="47">
        <v>1.84</v>
      </c>
      <c r="B78" s="55">
        <f t="shared" si="8"/>
        <v>2350.568</v>
      </c>
      <c r="C78" s="50">
        <f t="shared" si="9"/>
        <v>2409.3322</v>
      </c>
      <c r="D78" s="56">
        <f t="shared" si="10"/>
        <v>14.189000000000078</v>
      </c>
      <c r="E78" s="50">
        <f t="shared" si="11"/>
        <v>55</v>
      </c>
      <c r="F78" s="50">
        <f t="shared" si="11"/>
        <v>1216.5</v>
      </c>
      <c r="G78" s="50">
        <f t="shared" si="11"/>
        <v>-74</v>
      </c>
      <c r="H78" s="57">
        <v>-0.152</v>
      </c>
      <c r="I78" s="57">
        <v>0.806</v>
      </c>
      <c r="J78" s="57">
        <v>0.9642</v>
      </c>
      <c r="K78" s="57">
        <v>13.6436</v>
      </c>
      <c r="L78" s="58">
        <v>29.5464</v>
      </c>
      <c r="M78" s="95">
        <v>1.04</v>
      </c>
      <c r="N78" s="96">
        <v>1.694</v>
      </c>
      <c r="O78" s="103"/>
    </row>
    <row r="79" spans="1:15" ht="12.75">
      <c r="A79" s="47">
        <v>1.85</v>
      </c>
      <c r="B79" s="55">
        <f t="shared" si="8"/>
        <v>2364.7625000000003</v>
      </c>
      <c r="C79" s="50">
        <f t="shared" si="9"/>
        <v>2423.8815625</v>
      </c>
      <c r="D79" s="56">
        <f t="shared" si="10"/>
        <v>14.199999999999818</v>
      </c>
      <c r="E79" s="50">
        <f t="shared" si="11"/>
        <v>55</v>
      </c>
      <c r="F79" s="50">
        <f t="shared" si="11"/>
        <v>1216.5</v>
      </c>
      <c r="G79" s="50">
        <f t="shared" si="11"/>
        <v>-74</v>
      </c>
      <c r="H79" s="57">
        <v>-0.1675</v>
      </c>
      <c r="I79" s="57">
        <v>0.8</v>
      </c>
      <c r="J79" s="57">
        <v>0.9695</v>
      </c>
      <c r="K79" s="57">
        <v>13.588</v>
      </c>
      <c r="L79" s="58">
        <v>29.572</v>
      </c>
      <c r="M79" s="95">
        <v>1.05</v>
      </c>
      <c r="N79" s="96">
        <v>1.68</v>
      </c>
      <c r="O79" s="103"/>
    </row>
    <row r="80" spans="1:15" ht="12.75">
      <c r="A80" s="47">
        <v>1.86</v>
      </c>
      <c r="B80" s="55">
        <f t="shared" si="8"/>
        <v>2378.968</v>
      </c>
      <c r="C80" s="50">
        <f t="shared" si="9"/>
        <v>2438.4421999999995</v>
      </c>
      <c r="D80" s="56">
        <f t="shared" si="10"/>
        <v>14.210999999999785</v>
      </c>
      <c r="E80" s="50">
        <f t="shared" si="11"/>
        <v>55</v>
      </c>
      <c r="F80" s="50">
        <f t="shared" si="11"/>
        <v>1216.5</v>
      </c>
      <c r="G80" s="50">
        <f t="shared" si="11"/>
        <v>-74</v>
      </c>
      <c r="H80" s="57">
        <v>-0.183</v>
      </c>
      <c r="I80" s="57">
        <v>0.794</v>
      </c>
      <c r="J80" s="57">
        <v>0.9748</v>
      </c>
      <c r="K80" s="57">
        <v>13.5324</v>
      </c>
      <c r="L80" s="58">
        <v>29.5976</v>
      </c>
      <c r="M80" s="95">
        <v>1.06</v>
      </c>
      <c r="N80" s="96">
        <v>1.666</v>
      </c>
      <c r="O80" s="103"/>
    </row>
    <row r="81" spans="1:15" ht="12.75">
      <c r="A81" s="47">
        <v>1.87</v>
      </c>
      <c r="B81" s="55">
        <f t="shared" si="8"/>
        <v>2393.1845</v>
      </c>
      <c r="C81" s="50">
        <f t="shared" si="9"/>
        <v>2453.0141124999996</v>
      </c>
      <c r="D81" s="56">
        <f t="shared" si="10"/>
        <v>14.22199999999998</v>
      </c>
      <c r="E81" s="50">
        <f t="shared" si="11"/>
        <v>55</v>
      </c>
      <c r="F81" s="50">
        <f t="shared" si="11"/>
        <v>1216.5</v>
      </c>
      <c r="G81" s="50">
        <f t="shared" si="11"/>
        <v>-74</v>
      </c>
      <c r="H81" s="57">
        <v>-0.1985</v>
      </c>
      <c r="I81" s="57">
        <v>0.788</v>
      </c>
      <c r="J81" s="57">
        <v>0.9801</v>
      </c>
      <c r="K81" s="57">
        <v>13.4768</v>
      </c>
      <c r="L81" s="58">
        <v>29.6232</v>
      </c>
      <c r="M81" s="95">
        <v>1.07</v>
      </c>
      <c r="N81" s="96">
        <v>1.652</v>
      </c>
      <c r="O81" s="103"/>
    </row>
    <row r="82" spans="1:15" ht="12.75">
      <c r="A82" s="47">
        <v>1.88</v>
      </c>
      <c r="B82" s="55">
        <f t="shared" si="8"/>
        <v>2407.412</v>
      </c>
      <c r="C82" s="50">
        <f t="shared" si="9"/>
        <v>2467.5972999999994</v>
      </c>
      <c r="D82" s="56">
        <f t="shared" si="10"/>
        <v>14.232999999999947</v>
      </c>
      <c r="E82" s="50">
        <f t="shared" si="11"/>
        <v>55</v>
      </c>
      <c r="F82" s="50">
        <f t="shared" si="11"/>
        <v>1216.5</v>
      </c>
      <c r="G82" s="50">
        <f t="shared" si="11"/>
        <v>-74</v>
      </c>
      <c r="H82" s="57">
        <v>-0.214</v>
      </c>
      <c r="I82" s="57">
        <v>0.782</v>
      </c>
      <c r="J82" s="57">
        <v>0.9854</v>
      </c>
      <c r="K82" s="57">
        <v>13.4212</v>
      </c>
      <c r="L82" s="58">
        <v>29.6488</v>
      </c>
      <c r="M82" s="95">
        <v>1.08</v>
      </c>
      <c r="N82" s="96">
        <v>1.638</v>
      </c>
      <c r="O82" s="103"/>
    </row>
    <row r="83" spans="1:15" ht="12.75">
      <c r="A83" s="47">
        <v>1.89</v>
      </c>
      <c r="B83" s="55">
        <f t="shared" si="8"/>
        <v>2421.6504999999997</v>
      </c>
      <c r="C83" s="50">
        <f t="shared" si="9"/>
        <v>2482.1917624999996</v>
      </c>
      <c r="D83" s="56">
        <f t="shared" si="10"/>
        <v>14.244000000000142</v>
      </c>
      <c r="E83" s="50">
        <f>E82</f>
        <v>55</v>
      </c>
      <c r="F83" s="50">
        <f>F82</f>
        <v>1216.5</v>
      </c>
      <c r="G83" s="50">
        <f>G82</f>
        <v>-74</v>
      </c>
      <c r="H83" s="57">
        <v>-0.2295</v>
      </c>
      <c r="I83" s="57">
        <v>0.776</v>
      </c>
      <c r="J83" s="57">
        <v>0.9907</v>
      </c>
      <c r="K83" s="57">
        <v>13.3656</v>
      </c>
      <c r="L83" s="58">
        <v>29.6744</v>
      </c>
      <c r="M83" s="95">
        <v>1.09</v>
      </c>
      <c r="N83" s="96">
        <v>1.624</v>
      </c>
      <c r="O83" s="103"/>
    </row>
    <row r="84" spans="1:15" ht="12.75">
      <c r="A84" s="46">
        <v>1.9</v>
      </c>
      <c r="B84" s="51">
        <f t="shared" si="8"/>
        <v>2435.9</v>
      </c>
      <c r="C84" s="52">
        <f t="shared" si="9"/>
        <v>2496.7974999999997</v>
      </c>
      <c r="D84" s="53">
        <f t="shared" si="10"/>
        <v>14.25500000000011</v>
      </c>
      <c r="E84" s="52">
        <f aca="true" t="shared" si="12" ref="E84:G147">E83</f>
        <v>55</v>
      </c>
      <c r="F84" s="52">
        <f t="shared" si="12"/>
        <v>1216.5</v>
      </c>
      <c r="G84" s="52">
        <f t="shared" si="12"/>
        <v>-74</v>
      </c>
      <c r="H84" s="52">
        <v>-0.245</v>
      </c>
      <c r="I84" s="52">
        <v>0.77</v>
      </c>
      <c r="J84" s="52">
        <v>0.996</v>
      </c>
      <c r="K84" s="52">
        <v>13.31</v>
      </c>
      <c r="L84" s="54">
        <v>29.7</v>
      </c>
      <c r="M84" s="95">
        <v>1.1</v>
      </c>
      <c r="N84" s="96">
        <v>1.61</v>
      </c>
      <c r="O84" s="103"/>
    </row>
    <row r="85" spans="1:15" ht="12.75">
      <c r="A85" s="47">
        <v>1.91</v>
      </c>
      <c r="B85" s="55">
        <f t="shared" si="8"/>
        <v>2450.1605</v>
      </c>
      <c r="C85" s="50">
        <f t="shared" si="9"/>
        <v>2511.4145124999995</v>
      </c>
      <c r="D85" s="56">
        <f t="shared" si="10"/>
        <v>14.265999999999849</v>
      </c>
      <c r="E85" s="50">
        <f t="shared" si="12"/>
        <v>55</v>
      </c>
      <c r="F85" s="50">
        <f t="shared" si="12"/>
        <v>1216.5</v>
      </c>
      <c r="G85" s="50">
        <f t="shared" si="12"/>
        <v>-74</v>
      </c>
      <c r="H85" s="57">
        <v>-0.2605</v>
      </c>
      <c r="I85" s="57">
        <v>0.764</v>
      </c>
      <c r="J85" s="57">
        <v>1.0013</v>
      </c>
      <c r="K85" s="57">
        <v>13.2544</v>
      </c>
      <c r="L85" s="58">
        <v>29.725</v>
      </c>
      <c r="M85" s="95">
        <v>1.11</v>
      </c>
      <c r="N85" s="96">
        <v>1.596</v>
      </c>
      <c r="O85" s="103"/>
    </row>
    <row r="86" spans="1:15" ht="12.75">
      <c r="A86" s="47">
        <v>1.92</v>
      </c>
      <c r="B86" s="55">
        <f t="shared" si="8"/>
        <v>2464.432</v>
      </c>
      <c r="C86" s="50">
        <f t="shared" si="9"/>
        <v>2526.0427999999997</v>
      </c>
      <c r="D86" s="56">
        <f t="shared" si="10"/>
        <v>14.276999999999816</v>
      </c>
      <c r="E86" s="50">
        <f t="shared" si="12"/>
        <v>55</v>
      </c>
      <c r="F86" s="50">
        <f t="shared" si="12"/>
        <v>1216.5</v>
      </c>
      <c r="G86" s="50">
        <f t="shared" si="12"/>
        <v>-74</v>
      </c>
      <c r="H86" s="57">
        <v>-0.276</v>
      </c>
      <c r="I86" s="57">
        <v>0.758</v>
      </c>
      <c r="J86" s="57">
        <v>1.0066</v>
      </c>
      <c r="K86" s="57">
        <v>13.1988</v>
      </c>
      <c r="L86" s="58">
        <v>29.75</v>
      </c>
      <c r="M86" s="95">
        <v>1.12</v>
      </c>
      <c r="N86" s="96">
        <v>1.582</v>
      </c>
      <c r="O86" s="103"/>
    </row>
    <row r="87" spans="1:15" ht="12.75">
      <c r="A87" s="47">
        <v>1.93</v>
      </c>
      <c r="B87" s="55">
        <f t="shared" si="8"/>
        <v>2478.7144999999996</v>
      </c>
      <c r="C87" s="50">
        <f t="shared" si="9"/>
        <v>2540.6823624999993</v>
      </c>
      <c r="D87" s="56">
        <f t="shared" si="10"/>
        <v>14.288000000000011</v>
      </c>
      <c r="E87" s="50">
        <f t="shared" si="12"/>
        <v>55</v>
      </c>
      <c r="F87" s="50">
        <f t="shared" si="12"/>
        <v>1216.5</v>
      </c>
      <c r="G87" s="50">
        <f t="shared" si="12"/>
        <v>-74</v>
      </c>
      <c r="H87" s="57">
        <v>-0.2915</v>
      </c>
      <c r="I87" s="57">
        <v>0.752</v>
      </c>
      <c r="J87" s="57">
        <v>1.0119</v>
      </c>
      <c r="K87" s="57">
        <v>13.1432</v>
      </c>
      <c r="L87" s="58">
        <v>29.775</v>
      </c>
      <c r="M87" s="95">
        <v>1.13</v>
      </c>
      <c r="N87" s="96">
        <v>1.568</v>
      </c>
      <c r="O87" s="103"/>
    </row>
    <row r="88" spans="1:15" ht="12.75">
      <c r="A88" s="47">
        <v>1.94</v>
      </c>
      <c r="B88" s="55">
        <f t="shared" si="8"/>
        <v>2493.008</v>
      </c>
      <c r="C88" s="50">
        <f t="shared" si="9"/>
        <v>2555.3331999999996</v>
      </c>
      <c r="D88" s="56">
        <f t="shared" si="10"/>
        <v>14.298999999999978</v>
      </c>
      <c r="E88" s="50">
        <f t="shared" si="12"/>
        <v>55</v>
      </c>
      <c r="F88" s="50">
        <f t="shared" si="12"/>
        <v>1216.5</v>
      </c>
      <c r="G88" s="50">
        <f t="shared" si="12"/>
        <v>-74</v>
      </c>
      <c r="H88" s="57">
        <v>-0.307</v>
      </c>
      <c r="I88" s="57">
        <v>0.746</v>
      </c>
      <c r="J88" s="57">
        <v>1.0172</v>
      </c>
      <c r="K88" s="57">
        <v>13.0876</v>
      </c>
      <c r="L88" s="58">
        <v>29.8</v>
      </c>
      <c r="M88" s="95">
        <v>1.14</v>
      </c>
      <c r="N88" s="96">
        <v>1.554</v>
      </c>
      <c r="O88" s="103"/>
    </row>
    <row r="89" spans="1:15" ht="12.75">
      <c r="A89" s="47">
        <v>1.95</v>
      </c>
      <c r="B89" s="55">
        <f t="shared" si="8"/>
        <v>2507.3124999999995</v>
      </c>
      <c r="C89" s="50">
        <f t="shared" si="9"/>
        <v>2569.9953124999993</v>
      </c>
      <c r="D89" s="56">
        <f t="shared" si="10"/>
        <v>14.310000000000173</v>
      </c>
      <c r="E89" s="50">
        <f t="shared" si="12"/>
        <v>55</v>
      </c>
      <c r="F89" s="50">
        <f t="shared" si="12"/>
        <v>1216.5</v>
      </c>
      <c r="G89" s="50">
        <f t="shared" si="12"/>
        <v>-74</v>
      </c>
      <c r="H89" s="57">
        <v>-0.3225</v>
      </c>
      <c r="I89" s="57">
        <v>0.74</v>
      </c>
      <c r="J89" s="57">
        <v>1.0225</v>
      </c>
      <c r="K89" s="57">
        <v>13.032</v>
      </c>
      <c r="L89" s="58">
        <v>29.825</v>
      </c>
      <c r="M89" s="95">
        <v>1.15</v>
      </c>
      <c r="N89" s="96">
        <v>1.54</v>
      </c>
      <c r="O89" s="103"/>
    </row>
    <row r="90" spans="1:15" ht="12.75">
      <c r="A90" s="47">
        <v>1.96</v>
      </c>
      <c r="B90" s="55">
        <f t="shared" si="8"/>
        <v>2521.628</v>
      </c>
      <c r="C90" s="50">
        <f t="shared" si="9"/>
        <v>2584.6686999999997</v>
      </c>
      <c r="D90" s="56">
        <f t="shared" si="10"/>
        <v>14.321000000000367</v>
      </c>
      <c r="E90" s="50">
        <f t="shared" si="12"/>
        <v>55</v>
      </c>
      <c r="F90" s="50">
        <f t="shared" si="12"/>
        <v>1216.5</v>
      </c>
      <c r="G90" s="50">
        <f t="shared" si="12"/>
        <v>-74</v>
      </c>
      <c r="H90" s="57">
        <v>-0.338</v>
      </c>
      <c r="I90" s="57">
        <v>0.734</v>
      </c>
      <c r="J90" s="57">
        <v>1.0278</v>
      </c>
      <c r="K90" s="57">
        <v>12.9764</v>
      </c>
      <c r="L90" s="58">
        <v>29.85</v>
      </c>
      <c r="M90" s="95">
        <v>1.16</v>
      </c>
      <c r="N90" s="96">
        <v>1.526</v>
      </c>
      <c r="O90" s="103"/>
    </row>
    <row r="91" spans="1:15" ht="12.75">
      <c r="A91" s="47">
        <v>1.97</v>
      </c>
      <c r="B91" s="55">
        <f t="shared" si="8"/>
        <v>2535.9545000000003</v>
      </c>
      <c r="C91" s="50">
        <f t="shared" si="9"/>
        <v>2599.3533625</v>
      </c>
      <c r="D91" s="56">
        <f t="shared" si="10"/>
        <v>14.33199999999988</v>
      </c>
      <c r="E91" s="50">
        <f t="shared" si="12"/>
        <v>55</v>
      </c>
      <c r="F91" s="50">
        <f t="shared" si="12"/>
        <v>1216.5</v>
      </c>
      <c r="G91" s="50">
        <f t="shared" si="12"/>
        <v>-74</v>
      </c>
      <c r="H91" s="57">
        <v>-0.3535</v>
      </c>
      <c r="I91" s="57">
        <v>0.728</v>
      </c>
      <c r="J91" s="57">
        <v>1.0331</v>
      </c>
      <c r="K91" s="57">
        <v>12.9208</v>
      </c>
      <c r="L91" s="58">
        <v>29.875</v>
      </c>
      <c r="M91" s="95">
        <v>1.17</v>
      </c>
      <c r="N91" s="96">
        <v>1.512</v>
      </c>
      <c r="O91" s="103"/>
    </row>
    <row r="92" spans="1:15" ht="12.75">
      <c r="A92" s="47">
        <v>1.98</v>
      </c>
      <c r="B92" s="55">
        <f t="shared" si="8"/>
        <v>2550.292</v>
      </c>
      <c r="C92" s="50">
        <f t="shared" si="9"/>
        <v>2614.0492999999997</v>
      </c>
      <c r="D92" s="56">
        <f t="shared" si="10"/>
        <v>14.342999999999847</v>
      </c>
      <c r="E92" s="50">
        <f t="shared" si="12"/>
        <v>55</v>
      </c>
      <c r="F92" s="50">
        <f t="shared" si="12"/>
        <v>1216.5</v>
      </c>
      <c r="G92" s="50">
        <f t="shared" si="12"/>
        <v>-74</v>
      </c>
      <c r="H92" s="57">
        <v>-0.369</v>
      </c>
      <c r="I92" s="57">
        <v>0.722</v>
      </c>
      <c r="J92" s="57">
        <v>1.0384</v>
      </c>
      <c r="K92" s="57">
        <v>12.8652</v>
      </c>
      <c r="L92" s="58">
        <v>29.9</v>
      </c>
      <c r="M92" s="95">
        <v>1.18</v>
      </c>
      <c r="N92" s="96">
        <v>1.498</v>
      </c>
      <c r="O92" s="103"/>
    </row>
    <row r="93" spans="1:15" ht="12.75">
      <c r="A93" s="47">
        <v>1.99</v>
      </c>
      <c r="B93" s="55">
        <f t="shared" si="8"/>
        <v>2564.6405</v>
      </c>
      <c r="C93" s="50">
        <f t="shared" si="9"/>
        <v>2628.7565124999996</v>
      </c>
      <c r="D93" s="56">
        <f t="shared" si="10"/>
        <v>14.354000000000042</v>
      </c>
      <c r="E93" s="50">
        <f t="shared" si="12"/>
        <v>55</v>
      </c>
      <c r="F93" s="50">
        <f t="shared" si="12"/>
        <v>1216.5</v>
      </c>
      <c r="G93" s="50">
        <f t="shared" si="12"/>
        <v>-74</v>
      </c>
      <c r="H93" s="57">
        <v>-0.3845</v>
      </c>
      <c r="I93" s="57">
        <v>0.716</v>
      </c>
      <c r="J93" s="57">
        <v>1.0437</v>
      </c>
      <c r="K93" s="57">
        <v>12.8096</v>
      </c>
      <c r="L93" s="58">
        <v>29.925</v>
      </c>
      <c r="M93" s="95">
        <v>1.19</v>
      </c>
      <c r="N93" s="96">
        <v>1.484</v>
      </c>
      <c r="O93" s="103"/>
    </row>
    <row r="94" spans="1:15" ht="12.75">
      <c r="A94" s="46">
        <v>2</v>
      </c>
      <c r="B94" s="51">
        <f t="shared" si="8"/>
        <v>2579</v>
      </c>
      <c r="C94" s="52">
        <f t="shared" si="9"/>
        <v>2643.475</v>
      </c>
      <c r="D94" s="53">
        <f t="shared" si="10"/>
        <v>14.382449999999835</v>
      </c>
      <c r="E94" s="52">
        <v>54</v>
      </c>
      <c r="F94" s="52">
        <v>1224</v>
      </c>
      <c r="G94" s="52">
        <v>-85</v>
      </c>
      <c r="H94" s="52">
        <v>-0.4</v>
      </c>
      <c r="I94" s="52">
        <v>0.71</v>
      </c>
      <c r="J94" s="52">
        <v>1.049</v>
      </c>
      <c r="K94" s="52">
        <v>12.754</v>
      </c>
      <c r="L94" s="54">
        <v>29.95</v>
      </c>
      <c r="M94" s="95">
        <v>1.2</v>
      </c>
      <c r="N94" s="96">
        <v>1.47</v>
      </c>
      <c r="O94" s="103"/>
    </row>
    <row r="95" spans="1:15" ht="12.75">
      <c r="A95" s="47">
        <v>2.01</v>
      </c>
      <c r="B95" s="55">
        <f t="shared" si="8"/>
        <v>2593.4053999999996</v>
      </c>
      <c r="C95" s="50">
        <f t="shared" si="9"/>
        <v>2658.2405349999995</v>
      </c>
      <c r="D95" s="56">
        <f t="shared" si="10"/>
        <v>14.410800000000108</v>
      </c>
      <c r="E95" s="50">
        <f t="shared" si="12"/>
        <v>54</v>
      </c>
      <c r="F95" s="50">
        <f t="shared" si="12"/>
        <v>1224</v>
      </c>
      <c r="G95" s="50">
        <f t="shared" si="12"/>
        <v>-85</v>
      </c>
      <c r="H95" s="57">
        <v>-0.4175</v>
      </c>
      <c r="I95" s="57">
        <v>0.7025</v>
      </c>
      <c r="J95" s="57">
        <v>1.0544</v>
      </c>
      <c r="K95" s="57">
        <v>12.711</v>
      </c>
      <c r="L95" s="58">
        <v>29.9808</v>
      </c>
      <c r="M95" s="95">
        <v>1.21</v>
      </c>
      <c r="N95" s="96">
        <v>1.4575</v>
      </c>
      <c r="O95" s="103"/>
    </row>
    <row r="96" spans="1:15" ht="12.75">
      <c r="A96" s="47">
        <v>2.02</v>
      </c>
      <c r="B96" s="55">
        <f t="shared" si="8"/>
        <v>2607.8216</v>
      </c>
      <c r="C96" s="50">
        <f t="shared" si="9"/>
        <v>2673.01714</v>
      </c>
      <c r="D96" s="56">
        <f t="shared" si="10"/>
        <v>14.421600000000126</v>
      </c>
      <c r="E96" s="50">
        <f t="shared" si="12"/>
        <v>54</v>
      </c>
      <c r="F96" s="50">
        <f t="shared" si="12"/>
        <v>1224</v>
      </c>
      <c r="G96" s="50">
        <f t="shared" si="12"/>
        <v>-85</v>
      </c>
      <c r="H96" s="57">
        <v>-0.435</v>
      </c>
      <c r="I96" s="57">
        <v>0.695</v>
      </c>
      <c r="J96" s="57">
        <v>1.0598</v>
      </c>
      <c r="K96" s="57">
        <v>12.668</v>
      </c>
      <c r="L96" s="58">
        <v>30.0116</v>
      </c>
      <c r="M96" s="95">
        <v>1.22</v>
      </c>
      <c r="N96" s="96">
        <v>1.445</v>
      </c>
      <c r="O96" s="103"/>
    </row>
    <row r="97" spans="1:15" ht="12.75">
      <c r="A97" s="47">
        <v>2.03</v>
      </c>
      <c r="B97" s="55">
        <f t="shared" si="8"/>
        <v>2622.2486</v>
      </c>
      <c r="C97" s="50">
        <f t="shared" si="9"/>
        <v>2687.8048149999995</v>
      </c>
      <c r="D97" s="56">
        <f t="shared" si="10"/>
        <v>14.432399999999916</v>
      </c>
      <c r="E97" s="50">
        <f t="shared" si="12"/>
        <v>54</v>
      </c>
      <c r="F97" s="50">
        <f t="shared" si="12"/>
        <v>1224</v>
      </c>
      <c r="G97" s="50">
        <f t="shared" si="12"/>
        <v>-85</v>
      </c>
      <c r="H97" s="57">
        <v>-0.4525</v>
      </c>
      <c r="I97" s="57">
        <v>0.6875</v>
      </c>
      <c r="J97" s="57">
        <v>1.0652</v>
      </c>
      <c r="K97" s="57">
        <v>12.625</v>
      </c>
      <c r="L97" s="58">
        <v>30.0424</v>
      </c>
      <c r="M97" s="95">
        <v>1.23</v>
      </c>
      <c r="N97" s="96">
        <v>1.4325</v>
      </c>
      <c r="O97" s="103"/>
    </row>
    <row r="98" spans="1:15" ht="12.75">
      <c r="A98" s="47">
        <v>2.04</v>
      </c>
      <c r="B98" s="55">
        <f t="shared" si="8"/>
        <v>2636.6864</v>
      </c>
      <c r="C98" s="50">
        <f t="shared" si="9"/>
        <v>2702.60356</v>
      </c>
      <c r="D98" s="56">
        <f t="shared" si="10"/>
        <v>14.443199999999933</v>
      </c>
      <c r="E98" s="50">
        <f t="shared" si="12"/>
        <v>54</v>
      </c>
      <c r="F98" s="50">
        <f t="shared" si="12"/>
        <v>1224</v>
      </c>
      <c r="G98" s="50">
        <f t="shared" si="12"/>
        <v>-85</v>
      </c>
      <c r="H98" s="57">
        <v>-0.47</v>
      </c>
      <c r="I98" s="57">
        <v>0.68</v>
      </c>
      <c r="J98" s="57">
        <v>1.0706</v>
      </c>
      <c r="K98" s="57">
        <v>12.582</v>
      </c>
      <c r="L98" s="58">
        <v>30.0732</v>
      </c>
      <c r="M98" s="95">
        <v>1.24</v>
      </c>
      <c r="N98" s="96">
        <v>1.42</v>
      </c>
      <c r="O98" s="103"/>
    </row>
    <row r="99" spans="1:15" ht="12.75">
      <c r="A99" s="47">
        <v>2.05</v>
      </c>
      <c r="B99" s="55">
        <f t="shared" si="8"/>
        <v>2651.1349999999998</v>
      </c>
      <c r="C99" s="50">
        <f t="shared" si="9"/>
        <v>2717.4133749999996</v>
      </c>
      <c r="D99" s="56">
        <f t="shared" si="10"/>
        <v>14.45399999999995</v>
      </c>
      <c r="E99" s="50">
        <f t="shared" si="12"/>
        <v>54</v>
      </c>
      <c r="F99" s="50">
        <f t="shared" si="12"/>
        <v>1224</v>
      </c>
      <c r="G99" s="50">
        <f t="shared" si="12"/>
        <v>-85</v>
      </c>
      <c r="H99" s="57">
        <v>-0.4875</v>
      </c>
      <c r="I99" s="57">
        <v>0.6725</v>
      </c>
      <c r="J99" s="57">
        <v>1.076</v>
      </c>
      <c r="K99" s="57">
        <v>12.539</v>
      </c>
      <c r="L99" s="58">
        <v>30.104</v>
      </c>
      <c r="M99" s="95">
        <v>1.25</v>
      </c>
      <c r="N99" s="96">
        <v>1.4075</v>
      </c>
      <c r="O99" s="103"/>
    </row>
    <row r="100" spans="1:15" ht="12.75">
      <c r="A100" s="47">
        <v>2.06</v>
      </c>
      <c r="B100" s="55">
        <f t="shared" si="8"/>
        <v>2665.5944</v>
      </c>
      <c r="C100" s="50">
        <f t="shared" si="9"/>
        <v>2732.2342599999997</v>
      </c>
      <c r="D100" s="56">
        <f t="shared" si="10"/>
        <v>14.464799999999968</v>
      </c>
      <c r="E100" s="50">
        <f t="shared" si="12"/>
        <v>54</v>
      </c>
      <c r="F100" s="50">
        <f t="shared" si="12"/>
        <v>1224</v>
      </c>
      <c r="G100" s="50">
        <f t="shared" si="12"/>
        <v>-85</v>
      </c>
      <c r="H100" s="57">
        <v>-0.505</v>
      </c>
      <c r="I100" s="57">
        <v>0.665</v>
      </c>
      <c r="J100" s="57">
        <v>1.0814</v>
      </c>
      <c r="K100" s="57">
        <v>12.496</v>
      </c>
      <c r="L100" s="58">
        <v>30.1348</v>
      </c>
      <c r="M100" s="95">
        <v>1.26</v>
      </c>
      <c r="N100" s="96">
        <v>1.395</v>
      </c>
      <c r="O100" s="103"/>
    </row>
    <row r="101" spans="1:15" ht="12.75">
      <c r="A101" s="47">
        <v>2.07</v>
      </c>
      <c r="B101" s="55">
        <f t="shared" si="8"/>
        <v>2680.0645999999997</v>
      </c>
      <c r="C101" s="50">
        <f t="shared" si="9"/>
        <v>2747.0662149999994</v>
      </c>
      <c r="D101" s="56">
        <f t="shared" si="10"/>
        <v>14.475599999999986</v>
      </c>
      <c r="E101" s="50">
        <f t="shared" si="12"/>
        <v>54</v>
      </c>
      <c r="F101" s="50">
        <f t="shared" si="12"/>
        <v>1224</v>
      </c>
      <c r="G101" s="50">
        <f t="shared" si="12"/>
        <v>-85</v>
      </c>
      <c r="H101" s="57">
        <v>-0.5225</v>
      </c>
      <c r="I101" s="57">
        <v>0.6575</v>
      </c>
      <c r="J101" s="57">
        <v>1.0868</v>
      </c>
      <c r="K101" s="57">
        <v>12.453</v>
      </c>
      <c r="L101" s="58">
        <v>30.1656</v>
      </c>
      <c r="M101" s="95">
        <v>1.27</v>
      </c>
      <c r="N101" s="96">
        <v>1.3825</v>
      </c>
      <c r="O101" s="103"/>
    </row>
    <row r="102" spans="1:15" ht="12.75">
      <c r="A102" s="47">
        <v>2.08</v>
      </c>
      <c r="B102" s="55">
        <f t="shared" si="8"/>
        <v>2694.5456</v>
      </c>
      <c r="C102" s="50">
        <f t="shared" si="9"/>
        <v>2761.9092399999995</v>
      </c>
      <c r="D102" s="56">
        <f t="shared" si="10"/>
        <v>14.486400000000003</v>
      </c>
      <c r="E102" s="50">
        <f t="shared" si="12"/>
        <v>54</v>
      </c>
      <c r="F102" s="50">
        <f t="shared" si="12"/>
        <v>1224</v>
      </c>
      <c r="G102" s="50">
        <f t="shared" si="12"/>
        <v>-85</v>
      </c>
      <c r="H102" s="57">
        <v>-0.54</v>
      </c>
      <c r="I102" s="57">
        <v>0.65</v>
      </c>
      <c r="J102" s="57">
        <v>1.0922</v>
      </c>
      <c r="K102" s="57">
        <v>12.41</v>
      </c>
      <c r="L102" s="58">
        <v>30.1964</v>
      </c>
      <c r="M102" s="95">
        <v>1.28</v>
      </c>
      <c r="N102" s="96">
        <v>1.37</v>
      </c>
      <c r="O102" s="103"/>
    </row>
    <row r="103" spans="1:15" ht="12.75">
      <c r="A103" s="47">
        <v>2.09</v>
      </c>
      <c r="B103" s="55">
        <f t="shared" si="8"/>
        <v>2709.0373999999997</v>
      </c>
      <c r="C103" s="50">
        <f t="shared" si="9"/>
        <v>2776.7633349999996</v>
      </c>
      <c r="D103" s="56">
        <f t="shared" si="10"/>
        <v>14.49720000000002</v>
      </c>
      <c r="E103" s="50">
        <f t="shared" si="12"/>
        <v>54</v>
      </c>
      <c r="F103" s="50">
        <f t="shared" si="12"/>
        <v>1224</v>
      </c>
      <c r="G103" s="50">
        <f t="shared" si="12"/>
        <v>-85</v>
      </c>
      <c r="H103" s="57">
        <v>-0.5575</v>
      </c>
      <c r="I103" s="57">
        <v>0.6425</v>
      </c>
      <c r="J103" s="57">
        <v>1.0976</v>
      </c>
      <c r="K103" s="57">
        <v>12.367</v>
      </c>
      <c r="L103" s="58">
        <v>30.2272</v>
      </c>
      <c r="M103" s="95">
        <v>1.29</v>
      </c>
      <c r="N103" s="96">
        <v>1.3575</v>
      </c>
      <c r="O103" s="103"/>
    </row>
    <row r="104" spans="1:15" ht="12.75">
      <c r="A104" s="46">
        <v>2.1</v>
      </c>
      <c r="B104" s="51">
        <f t="shared" si="8"/>
        <v>2723.54</v>
      </c>
      <c r="C104" s="52">
        <f t="shared" si="9"/>
        <v>2791.6285</v>
      </c>
      <c r="D104" s="53">
        <f t="shared" si="10"/>
        <v>14.508000000000038</v>
      </c>
      <c r="E104" s="52">
        <f t="shared" si="12"/>
        <v>54</v>
      </c>
      <c r="F104" s="52">
        <f t="shared" si="12"/>
        <v>1224</v>
      </c>
      <c r="G104" s="52">
        <f t="shared" si="12"/>
        <v>-85</v>
      </c>
      <c r="H104" s="52">
        <v>-0.575</v>
      </c>
      <c r="I104" s="52">
        <v>0.635</v>
      </c>
      <c r="J104" s="52">
        <v>1.103</v>
      </c>
      <c r="K104" s="52">
        <v>12.324</v>
      </c>
      <c r="L104" s="54">
        <v>30.258</v>
      </c>
      <c r="M104" s="95">
        <v>1.3</v>
      </c>
      <c r="N104" s="96">
        <v>1.345</v>
      </c>
      <c r="O104" s="103"/>
    </row>
    <row r="105" spans="1:15" ht="12.75">
      <c r="A105" s="47">
        <v>2.11</v>
      </c>
      <c r="B105" s="55">
        <f t="shared" si="8"/>
        <v>2738.0534</v>
      </c>
      <c r="C105" s="50">
        <f t="shared" si="9"/>
        <v>2806.5047349999995</v>
      </c>
      <c r="D105" s="56">
        <f t="shared" si="10"/>
        <v>14.518800000000056</v>
      </c>
      <c r="E105" s="50">
        <f t="shared" si="12"/>
        <v>54</v>
      </c>
      <c r="F105" s="50">
        <f t="shared" si="12"/>
        <v>1224</v>
      </c>
      <c r="G105" s="50">
        <f t="shared" si="12"/>
        <v>-85</v>
      </c>
      <c r="H105" s="57">
        <v>-0.5925</v>
      </c>
      <c r="I105" s="57">
        <v>0.6275</v>
      </c>
      <c r="J105" s="57">
        <v>1.1083</v>
      </c>
      <c r="K105" s="57">
        <v>12.2809</v>
      </c>
      <c r="L105" s="58">
        <v>30.2883</v>
      </c>
      <c r="M105" s="95">
        <v>1.31</v>
      </c>
      <c r="N105" s="96">
        <v>1.3325</v>
      </c>
      <c r="O105" s="103"/>
    </row>
    <row r="106" spans="1:15" ht="12.75">
      <c r="A106" s="47">
        <v>2.12</v>
      </c>
      <c r="B106" s="55">
        <f t="shared" si="8"/>
        <v>2752.5776</v>
      </c>
      <c r="C106" s="50">
        <f t="shared" si="9"/>
        <v>2821.3920399999997</v>
      </c>
      <c r="D106" s="56">
        <f t="shared" si="10"/>
        <v>14.529600000000073</v>
      </c>
      <c r="E106" s="50">
        <f t="shared" si="12"/>
        <v>54</v>
      </c>
      <c r="F106" s="50">
        <f t="shared" si="12"/>
        <v>1224</v>
      </c>
      <c r="G106" s="50">
        <f t="shared" si="12"/>
        <v>-85</v>
      </c>
      <c r="H106" s="57">
        <v>-0.61</v>
      </c>
      <c r="I106" s="57">
        <v>0.62</v>
      </c>
      <c r="J106" s="57">
        <v>1.1136</v>
      </c>
      <c r="K106" s="57">
        <v>12.2378</v>
      </c>
      <c r="L106" s="58">
        <v>30.3186</v>
      </c>
      <c r="M106" s="95">
        <v>1.32</v>
      </c>
      <c r="N106" s="96">
        <v>1.32</v>
      </c>
      <c r="O106" s="103"/>
    </row>
    <row r="107" spans="1:15" ht="12.75">
      <c r="A107" s="47">
        <v>2.13</v>
      </c>
      <c r="B107" s="55">
        <f t="shared" si="8"/>
        <v>2767.1126</v>
      </c>
      <c r="C107" s="50">
        <f t="shared" si="9"/>
        <v>2836.2904149999995</v>
      </c>
      <c r="D107" s="56">
        <f t="shared" si="10"/>
        <v>14.54040000000009</v>
      </c>
      <c r="E107" s="50">
        <f t="shared" si="12"/>
        <v>54</v>
      </c>
      <c r="F107" s="50">
        <f t="shared" si="12"/>
        <v>1224</v>
      </c>
      <c r="G107" s="50">
        <f t="shared" si="12"/>
        <v>-85</v>
      </c>
      <c r="H107" s="57">
        <v>-0.6275</v>
      </c>
      <c r="I107" s="57">
        <v>0.6125</v>
      </c>
      <c r="J107" s="57">
        <v>1.1189</v>
      </c>
      <c r="K107" s="57">
        <v>12.1947</v>
      </c>
      <c r="L107" s="58">
        <v>30.3489</v>
      </c>
      <c r="M107" s="95">
        <v>1.33</v>
      </c>
      <c r="N107" s="96">
        <v>1.3075</v>
      </c>
      <c r="O107" s="103"/>
    </row>
    <row r="108" spans="1:15" ht="12.75">
      <c r="A108" s="47">
        <v>2.14</v>
      </c>
      <c r="B108" s="55">
        <f t="shared" si="8"/>
        <v>2781.6584000000003</v>
      </c>
      <c r="C108" s="50">
        <f t="shared" si="9"/>
        <v>2851.19986</v>
      </c>
      <c r="D108" s="56">
        <f t="shared" si="10"/>
        <v>14.55119999999988</v>
      </c>
      <c r="E108" s="50">
        <f t="shared" si="12"/>
        <v>54</v>
      </c>
      <c r="F108" s="50">
        <f t="shared" si="12"/>
        <v>1224</v>
      </c>
      <c r="G108" s="50">
        <f t="shared" si="12"/>
        <v>-85</v>
      </c>
      <c r="H108" s="57">
        <v>-0.645</v>
      </c>
      <c r="I108" s="57">
        <v>0.605</v>
      </c>
      <c r="J108" s="57">
        <v>1.1242</v>
      </c>
      <c r="K108" s="57">
        <v>12.1516</v>
      </c>
      <c r="L108" s="58">
        <v>30.3792</v>
      </c>
      <c r="M108" s="95">
        <v>1.34</v>
      </c>
      <c r="N108" s="96">
        <v>1.295</v>
      </c>
      <c r="O108" s="103"/>
    </row>
    <row r="109" spans="1:15" ht="12.75">
      <c r="A109" s="47">
        <v>2.15</v>
      </c>
      <c r="B109" s="55">
        <f t="shared" si="8"/>
        <v>2796.2149999999997</v>
      </c>
      <c r="C109" s="50">
        <f t="shared" si="9"/>
        <v>2866.1203749999995</v>
      </c>
      <c r="D109" s="56">
        <f t="shared" si="10"/>
        <v>14.561999999999898</v>
      </c>
      <c r="E109" s="50">
        <f t="shared" si="12"/>
        <v>54</v>
      </c>
      <c r="F109" s="50">
        <f t="shared" si="12"/>
        <v>1224</v>
      </c>
      <c r="G109" s="50">
        <f t="shared" si="12"/>
        <v>-85</v>
      </c>
      <c r="H109" s="57">
        <v>-0.6625</v>
      </c>
      <c r="I109" s="57">
        <v>0.5975</v>
      </c>
      <c r="J109" s="57">
        <v>1.1295</v>
      </c>
      <c r="K109" s="57">
        <v>12.1085</v>
      </c>
      <c r="L109" s="58">
        <v>30.4095</v>
      </c>
      <c r="M109" s="95">
        <v>1.35</v>
      </c>
      <c r="N109" s="96">
        <v>1.2825</v>
      </c>
      <c r="O109" s="103"/>
    </row>
    <row r="110" spans="1:15" ht="12.75">
      <c r="A110" s="47">
        <v>2.16</v>
      </c>
      <c r="B110" s="55">
        <f t="shared" si="8"/>
        <v>2810.7824</v>
      </c>
      <c r="C110" s="50">
        <f t="shared" si="9"/>
        <v>2881.05196</v>
      </c>
      <c r="D110" s="56">
        <f t="shared" si="10"/>
        <v>14.572800000000143</v>
      </c>
      <c r="E110" s="50">
        <f t="shared" si="12"/>
        <v>54</v>
      </c>
      <c r="F110" s="50">
        <f t="shared" si="12"/>
        <v>1224</v>
      </c>
      <c r="G110" s="50">
        <f t="shared" si="12"/>
        <v>-85</v>
      </c>
      <c r="H110" s="57">
        <v>-0.68</v>
      </c>
      <c r="I110" s="57">
        <v>0.59</v>
      </c>
      <c r="J110" s="57">
        <v>1.1348</v>
      </c>
      <c r="K110" s="57">
        <v>12.0654</v>
      </c>
      <c r="L110" s="58">
        <v>30.4398</v>
      </c>
      <c r="M110" s="95">
        <v>1.36</v>
      </c>
      <c r="N110" s="96">
        <v>1.27</v>
      </c>
      <c r="O110" s="103"/>
    </row>
    <row r="111" spans="1:15" ht="12.75">
      <c r="A111" s="47">
        <v>2.17</v>
      </c>
      <c r="B111" s="55">
        <f t="shared" si="8"/>
        <v>2825.3606</v>
      </c>
      <c r="C111" s="50">
        <f t="shared" si="9"/>
        <v>2895.9946149999996</v>
      </c>
      <c r="D111" s="56">
        <f t="shared" si="10"/>
        <v>14.58360000000016</v>
      </c>
      <c r="E111" s="50">
        <f t="shared" si="12"/>
        <v>54</v>
      </c>
      <c r="F111" s="50">
        <f t="shared" si="12"/>
        <v>1224</v>
      </c>
      <c r="G111" s="50">
        <f t="shared" si="12"/>
        <v>-85</v>
      </c>
      <c r="H111" s="57">
        <v>-0.6975</v>
      </c>
      <c r="I111" s="57">
        <v>0.5825</v>
      </c>
      <c r="J111" s="57">
        <v>1.1401</v>
      </c>
      <c r="K111" s="57">
        <v>12.0223</v>
      </c>
      <c r="L111" s="58">
        <v>30.4701</v>
      </c>
      <c r="M111" s="95">
        <v>1.37</v>
      </c>
      <c r="N111" s="96">
        <v>1.2575</v>
      </c>
      <c r="O111" s="103"/>
    </row>
    <row r="112" spans="1:15" ht="12.75">
      <c r="A112" s="47">
        <v>2.18</v>
      </c>
      <c r="B112" s="55">
        <f t="shared" si="8"/>
        <v>2839.9496000000004</v>
      </c>
      <c r="C112" s="50">
        <f t="shared" si="9"/>
        <v>2910.94834</v>
      </c>
      <c r="D112" s="56">
        <f t="shared" si="10"/>
        <v>14.59439999999995</v>
      </c>
      <c r="E112" s="50">
        <f t="shared" si="12"/>
        <v>54</v>
      </c>
      <c r="F112" s="50">
        <f t="shared" si="12"/>
        <v>1224</v>
      </c>
      <c r="G112" s="50">
        <f t="shared" si="12"/>
        <v>-85</v>
      </c>
      <c r="H112" s="57">
        <v>-0.715</v>
      </c>
      <c r="I112" s="57">
        <v>0.575</v>
      </c>
      <c r="J112" s="57">
        <v>1.1454</v>
      </c>
      <c r="K112" s="57">
        <v>11.9792</v>
      </c>
      <c r="L112" s="58">
        <v>30.5004</v>
      </c>
      <c r="M112" s="95">
        <v>1.38</v>
      </c>
      <c r="N112" s="96">
        <v>1.245</v>
      </c>
      <c r="O112" s="103"/>
    </row>
    <row r="113" spans="1:15" ht="12.75">
      <c r="A113" s="47">
        <v>2.19</v>
      </c>
      <c r="B113" s="55">
        <f t="shared" si="8"/>
        <v>2854.5494</v>
      </c>
      <c r="C113" s="50">
        <f t="shared" si="9"/>
        <v>2925.913135</v>
      </c>
      <c r="D113" s="56">
        <f t="shared" si="10"/>
        <v>14.605199999999968</v>
      </c>
      <c r="E113" s="50">
        <f t="shared" si="12"/>
        <v>54</v>
      </c>
      <c r="F113" s="50">
        <f t="shared" si="12"/>
        <v>1224</v>
      </c>
      <c r="G113" s="50">
        <f t="shared" si="12"/>
        <v>-85</v>
      </c>
      <c r="H113" s="57">
        <v>-0.7325</v>
      </c>
      <c r="I113" s="57">
        <v>0.5675</v>
      </c>
      <c r="J113" s="57">
        <v>1.1507</v>
      </c>
      <c r="K113" s="57">
        <v>11.9361</v>
      </c>
      <c r="L113" s="58">
        <v>30.5307</v>
      </c>
      <c r="M113" s="95">
        <v>1.39</v>
      </c>
      <c r="N113" s="96">
        <v>1.2325</v>
      </c>
      <c r="O113" s="103"/>
    </row>
    <row r="114" spans="1:15" ht="12.75">
      <c r="A114" s="46">
        <v>2.2</v>
      </c>
      <c r="B114" s="51">
        <f t="shared" si="8"/>
        <v>2869.1600000000003</v>
      </c>
      <c r="C114" s="52">
        <f t="shared" si="9"/>
        <v>2940.889</v>
      </c>
      <c r="D114" s="53">
        <f t="shared" si="10"/>
        <v>14.615999999999985</v>
      </c>
      <c r="E114" s="52">
        <f t="shared" si="12"/>
        <v>54</v>
      </c>
      <c r="F114" s="52">
        <f t="shared" si="12"/>
        <v>1224</v>
      </c>
      <c r="G114" s="52">
        <f t="shared" si="12"/>
        <v>-85</v>
      </c>
      <c r="H114" s="52">
        <v>-0.75</v>
      </c>
      <c r="I114" s="52">
        <v>0.56</v>
      </c>
      <c r="J114" s="52">
        <v>1.156</v>
      </c>
      <c r="K114" s="52">
        <v>11.893</v>
      </c>
      <c r="L114" s="54">
        <v>30.561</v>
      </c>
      <c r="M114" s="95">
        <v>1.4</v>
      </c>
      <c r="N114" s="96">
        <v>1.22</v>
      </c>
      <c r="O114" s="103"/>
    </row>
    <row r="115" spans="1:15" ht="12.75">
      <c r="A115" s="47">
        <v>2.21</v>
      </c>
      <c r="B115" s="55">
        <f t="shared" si="8"/>
        <v>2883.7814</v>
      </c>
      <c r="C115" s="50">
        <f t="shared" si="9"/>
        <v>2955.8759349999996</v>
      </c>
      <c r="D115" s="56">
        <f t="shared" si="10"/>
        <v>14.626800000000003</v>
      </c>
      <c r="E115" s="50">
        <f t="shared" si="12"/>
        <v>54</v>
      </c>
      <c r="F115" s="50">
        <f t="shared" si="12"/>
        <v>1224</v>
      </c>
      <c r="G115" s="50">
        <f t="shared" si="12"/>
        <v>-85</v>
      </c>
      <c r="H115" s="57">
        <v>-0.7665</v>
      </c>
      <c r="I115" s="57">
        <v>0.553</v>
      </c>
      <c r="J115" s="57">
        <v>1.1613</v>
      </c>
      <c r="K115" s="57">
        <v>11.8571</v>
      </c>
      <c r="L115" s="58">
        <v>30.5898</v>
      </c>
      <c r="M115" s="95">
        <v>1.41</v>
      </c>
      <c r="N115" s="96">
        <v>1.208</v>
      </c>
      <c r="O115" s="103"/>
    </row>
    <row r="116" spans="1:15" ht="12.75">
      <c r="A116" s="47">
        <v>2.22</v>
      </c>
      <c r="B116" s="55">
        <f t="shared" si="8"/>
        <v>2898.4136000000003</v>
      </c>
      <c r="C116" s="50">
        <f t="shared" si="9"/>
        <v>2970.87394</v>
      </c>
      <c r="D116" s="56">
        <f t="shared" si="10"/>
        <v>14.63760000000002</v>
      </c>
      <c r="E116" s="50">
        <f t="shared" si="12"/>
        <v>54</v>
      </c>
      <c r="F116" s="50">
        <f t="shared" si="12"/>
        <v>1224</v>
      </c>
      <c r="G116" s="50">
        <f t="shared" si="12"/>
        <v>-85</v>
      </c>
      <c r="H116" s="57">
        <v>-0.783</v>
      </c>
      <c r="I116" s="57">
        <v>0.546</v>
      </c>
      <c r="J116" s="57">
        <v>1.1666</v>
      </c>
      <c r="K116" s="57">
        <v>11.8212</v>
      </c>
      <c r="L116" s="58">
        <v>30.6186</v>
      </c>
      <c r="M116" s="95">
        <v>1.42</v>
      </c>
      <c r="N116" s="96">
        <v>1.196</v>
      </c>
      <c r="O116" s="103"/>
    </row>
    <row r="117" spans="1:15" ht="12.75">
      <c r="A117" s="47">
        <v>2.23</v>
      </c>
      <c r="B117" s="55">
        <f t="shared" si="8"/>
        <v>2913.0566</v>
      </c>
      <c r="C117" s="50">
        <f t="shared" si="9"/>
        <v>2985.8830149999994</v>
      </c>
      <c r="D117" s="56">
        <f t="shared" si="10"/>
        <v>14.648400000000038</v>
      </c>
      <c r="E117" s="50">
        <f t="shared" si="12"/>
        <v>54</v>
      </c>
      <c r="F117" s="50">
        <f t="shared" si="12"/>
        <v>1224</v>
      </c>
      <c r="G117" s="50">
        <f t="shared" si="12"/>
        <v>-85</v>
      </c>
      <c r="H117" s="57">
        <v>-0.7995</v>
      </c>
      <c r="I117" s="57">
        <v>0.539</v>
      </c>
      <c r="J117" s="57">
        <v>1.1719</v>
      </c>
      <c r="K117" s="57">
        <v>11.7853</v>
      </c>
      <c r="L117" s="58">
        <v>30.6474</v>
      </c>
      <c r="M117" s="95">
        <v>1.43</v>
      </c>
      <c r="N117" s="96">
        <v>1.184</v>
      </c>
      <c r="O117" s="103"/>
    </row>
    <row r="118" spans="1:15" ht="12.75">
      <c r="A118" s="47">
        <v>2.24</v>
      </c>
      <c r="B118" s="55">
        <f t="shared" si="8"/>
        <v>2927.7104000000004</v>
      </c>
      <c r="C118" s="50">
        <f t="shared" si="9"/>
        <v>3000.9031600000003</v>
      </c>
      <c r="D118" s="56">
        <f t="shared" si="10"/>
        <v>14.659200000000055</v>
      </c>
      <c r="E118" s="50">
        <f t="shared" si="12"/>
        <v>54</v>
      </c>
      <c r="F118" s="50">
        <f t="shared" si="12"/>
        <v>1224</v>
      </c>
      <c r="G118" s="50">
        <f t="shared" si="12"/>
        <v>-85</v>
      </c>
      <c r="H118" s="57">
        <v>-0.816</v>
      </c>
      <c r="I118" s="57">
        <v>0.532</v>
      </c>
      <c r="J118" s="57">
        <v>1.1772</v>
      </c>
      <c r="K118" s="57">
        <v>11.7494</v>
      </c>
      <c r="L118" s="58">
        <v>30.6762</v>
      </c>
      <c r="M118" s="95">
        <v>1.44</v>
      </c>
      <c r="N118" s="96">
        <v>1.172</v>
      </c>
      <c r="O118" s="103"/>
    </row>
    <row r="119" spans="1:15" ht="12.75">
      <c r="A119" s="47">
        <v>2.25</v>
      </c>
      <c r="B119" s="55">
        <f t="shared" si="8"/>
        <v>2942.375</v>
      </c>
      <c r="C119" s="50">
        <f t="shared" si="9"/>
        <v>3015.934375</v>
      </c>
      <c r="D119" s="56">
        <f t="shared" si="10"/>
        <v>14.669999999999618</v>
      </c>
      <c r="E119" s="50">
        <f t="shared" si="12"/>
        <v>54</v>
      </c>
      <c r="F119" s="50">
        <f t="shared" si="12"/>
        <v>1224</v>
      </c>
      <c r="G119" s="50">
        <f t="shared" si="12"/>
        <v>-85</v>
      </c>
      <c r="H119" s="57">
        <v>-0.8325</v>
      </c>
      <c r="I119" s="57">
        <v>0.525</v>
      </c>
      <c r="J119" s="57">
        <v>1.1825</v>
      </c>
      <c r="K119" s="57">
        <v>11.7135</v>
      </c>
      <c r="L119" s="58">
        <v>30.705</v>
      </c>
      <c r="M119" s="95">
        <v>1.45</v>
      </c>
      <c r="N119" s="96">
        <v>1.16</v>
      </c>
      <c r="O119" s="103"/>
    </row>
    <row r="120" spans="1:15" ht="12.75">
      <c r="A120" s="47">
        <v>2.26</v>
      </c>
      <c r="B120" s="55">
        <f t="shared" si="8"/>
        <v>2957.0503999999996</v>
      </c>
      <c r="C120" s="50">
        <f t="shared" si="9"/>
        <v>3030.9766599999994</v>
      </c>
      <c r="D120" s="56">
        <f t="shared" si="10"/>
        <v>14.68080000000009</v>
      </c>
      <c r="E120" s="50">
        <f t="shared" si="12"/>
        <v>54</v>
      </c>
      <c r="F120" s="50">
        <f t="shared" si="12"/>
        <v>1224</v>
      </c>
      <c r="G120" s="50">
        <f t="shared" si="12"/>
        <v>-85</v>
      </c>
      <c r="H120" s="57">
        <v>-0.849</v>
      </c>
      <c r="I120" s="57">
        <v>0.518</v>
      </c>
      <c r="J120" s="57">
        <v>1.1878</v>
      </c>
      <c r="K120" s="57">
        <v>11.6776</v>
      </c>
      <c r="L120" s="58">
        <v>30.7338</v>
      </c>
      <c r="M120" s="95">
        <v>1.46</v>
      </c>
      <c r="N120" s="96">
        <v>1.148</v>
      </c>
      <c r="O120" s="103"/>
    </row>
    <row r="121" spans="1:15" ht="12.75">
      <c r="A121" s="47">
        <v>2.27</v>
      </c>
      <c r="B121" s="55">
        <f t="shared" si="8"/>
        <v>2971.7366</v>
      </c>
      <c r="C121" s="50">
        <f t="shared" si="9"/>
        <v>3046.030015</v>
      </c>
      <c r="D121" s="56">
        <f t="shared" si="10"/>
        <v>14.691600000000108</v>
      </c>
      <c r="E121" s="50">
        <f t="shared" si="12"/>
        <v>54</v>
      </c>
      <c r="F121" s="50">
        <f t="shared" si="12"/>
        <v>1224</v>
      </c>
      <c r="G121" s="50">
        <f t="shared" si="12"/>
        <v>-85</v>
      </c>
      <c r="H121" s="57">
        <v>-0.8655</v>
      </c>
      <c r="I121" s="57">
        <v>0.511</v>
      </c>
      <c r="J121" s="57">
        <v>1.1931</v>
      </c>
      <c r="K121" s="57">
        <v>11.6417</v>
      </c>
      <c r="L121" s="58">
        <v>30.7626</v>
      </c>
      <c r="M121" s="95">
        <v>1.47</v>
      </c>
      <c r="N121" s="96">
        <v>1.136</v>
      </c>
      <c r="O121" s="103"/>
    </row>
    <row r="122" spans="1:15" ht="12.75">
      <c r="A122" s="47">
        <v>2.28</v>
      </c>
      <c r="B122" s="55">
        <f t="shared" si="8"/>
        <v>2986.4336</v>
      </c>
      <c r="C122" s="50">
        <f t="shared" si="9"/>
        <v>3061.0944399999994</v>
      </c>
      <c r="D122" s="56">
        <f t="shared" si="10"/>
        <v>14.702399999999898</v>
      </c>
      <c r="E122" s="50">
        <f t="shared" si="12"/>
        <v>54</v>
      </c>
      <c r="F122" s="50">
        <f t="shared" si="12"/>
        <v>1224</v>
      </c>
      <c r="G122" s="50">
        <f t="shared" si="12"/>
        <v>-85</v>
      </c>
      <c r="H122" s="57">
        <v>-0.882</v>
      </c>
      <c r="I122" s="57">
        <v>0.504</v>
      </c>
      <c r="J122" s="57">
        <v>1.1984</v>
      </c>
      <c r="K122" s="57">
        <v>11.6058</v>
      </c>
      <c r="L122" s="58">
        <v>30.7914</v>
      </c>
      <c r="M122" s="95">
        <v>1.48</v>
      </c>
      <c r="N122" s="96">
        <v>1.124</v>
      </c>
      <c r="O122" s="103"/>
    </row>
    <row r="123" spans="1:15" ht="12.75">
      <c r="A123" s="47">
        <v>2.29</v>
      </c>
      <c r="B123" s="55">
        <f t="shared" si="8"/>
        <v>3001.1414</v>
      </c>
      <c r="C123" s="50">
        <f t="shared" si="9"/>
        <v>3076.169935</v>
      </c>
      <c r="D123" s="56">
        <f t="shared" si="10"/>
        <v>14.713199999999915</v>
      </c>
      <c r="E123" s="50">
        <f t="shared" si="12"/>
        <v>54</v>
      </c>
      <c r="F123" s="50">
        <f t="shared" si="12"/>
        <v>1224</v>
      </c>
      <c r="G123" s="50">
        <f t="shared" si="12"/>
        <v>-85</v>
      </c>
      <c r="H123" s="57">
        <v>-0.8985</v>
      </c>
      <c r="I123" s="57">
        <v>0.497</v>
      </c>
      <c r="J123" s="57">
        <v>1.2037</v>
      </c>
      <c r="K123" s="57">
        <v>11.5699</v>
      </c>
      <c r="L123" s="58">
        <v>30.8202</v>
      </c>
      <c r="M123" s="95">
        <v>1.49</v>
      </c>
      <c r="N123" s="96">
        <v>1.112</v>
      </c>
      <c r="O123" s="103"/>
    </row>
    <row r="124" spans="1:15" ht="12.75">
      <c r="A124" s="46">
        <v>2.3</v>
      </c>
      <c r="B124" s="51">
        <f t="shared" si="8"/>
        <v>3015.8599999999997</v>
      </c>
      <c r="C124" s="52">
        <f t="shared" si="9"/>
        <v>3091.2564999999995</v>
      </c>
      <c r="D124" s="53">
        <f t="shared" si="10"/>
        <v>14.723999999999933</v>
      </c>
      <c r="E124" s="52">
        <f t="shared" si="12"/>
        <v>54</v>
      </c>
      <c r="F124" s="52">
        <f t="shared" si="12"/>
        <v>1224</v>
      </c>
      <c r="G124" s="52">
        <f t="shared" si="12"/>
        <v>-85</v>
      </c>
      <c r="H124" s="52">
        <v>-0.915</v>
      </c>
      <c r="I124" s="52">
        <v>0.49</v>
      </c>
      <c r="J124" s="52">
        <v>1.209</v>
      </c>
      <c r="K124" s="52">
        <v>11.534</v>
      </c>
      <c r="L124" s="54">
        <v>30.849</v>
      </c>
      <c r="M124" s="95">
        <v>1.5</v>
      </c>
      <c r="N124" s="96">
        <v>1.1</v>
      </c>
      <c r="O124" s="103"/>
    </row>
    <row r="125" spans="1:15" ht="12.75">
      <c r="A125" s="47">
        <v>2.31</v>
      </c>
      <c r="B125" s="55">
        <f t="shared" si="8"/>
        <v>3030.5894</v>
      </c>
      <c r="C125" s="50">
        <f t="shared" si="9"/>
        <v>3106.3541349999996</v>
      </c>
      <c r="D125" s="56">
        <f t="shared" si="10"/>
        <v>14.734800000000178</v>
      </c>
      <c r="E125" s="50">
        <f t="shared" si="12"/>
        <v>54</v>
      </c>
      <c r="F125" s="50">
        <f t="shared" si="12"/>
        <v>1224</v>
      </c>
      <c r="G125" s="50">
        <f t="shared" si="12"/>
        <v>-85</v>
      </c>
      <c r="H125" s="57">
        <v>-0.9315</v>
      </c>
      <c r="I125" s="57">
        <v>0.483</v>
      </c>
      <c r="J125" s="57">
        <v>1.2143</v>
      </c>
      <c r="K125" s="57">
        <v>11.498</v>
      </c>
      <c r="L125" s="58">
        <v>30.876</v>
      </c>
      <c r="M125" s="95">
        <v>1.51</v>
      </c>
      <c r="N125" s="96">
        <v>1.09</v>
      </c>
      <c r="O125" s="103"/>
    </row>
    <row r="126" spans="1:15" ht="12.75">
      <c r="A126" s="47">
        <v>2.32</v>
      </c>
      <c r="B126" s="55">
        <f t="shared" si="8"/>
        <v>3045.3296</v>
      </c>
      <c r="C126" s="50">
        <f t="shared" si="9"/>
        <v>3121.4628399999997</v>
      </c>
      <c r="D126" s="56">
        <f t="shared" si="10"/>
        <v>14.745600000000195</v>
      </c>
      <c r="E126" s="50">
        <f t="shared" si="12"/>
        <v>54</v>
      </c>
      <c r="F126" s="50">
        <f t="shared" si="12"/>
        <v>1224</v>
      </c>
      <c r="G126" s="50">
        <f t="shared" si="12"/>
        <v>-85</v>
      </c>
      <c r="H126" s="57">
        <v>-0.948</v>
      </c>
      <c r="I126" s="57">
        <v>0.476</v>
      </c>
      <c r="J126" s="57">
        <v>1.2196</v>
      </c>
      <c r="K126" s="57">
        <v>11.462</v>
      </c>
      <c r="L126" s="58">
        <v>30.903</v>
      </c>
      <c r="M126" s="95">
        <v>1.52</v>
      </c>
      <c r="N126" s="96">
        <v>1.08</v>
      </c>
      <c r="O126" s="103"/>
    </row>
    <row r="127" spans="1:15" ht="12.75">
      <c r="A127" s="47">
        <v>2.33</v>
      </c>
      <c r="B127" s="55">
        <f t="shared" si="8"/>
        <v>3060.0806000000002</v>
      </c>
      <c r="C127" s="50">
        <f t="shared" si="9"/>
        <v>3136.582615</v>
      </c>
      <c r="D127" s="56">
        <f t="shared" si="10"/>
        <v>14.756399999999985</v>
      </c>
      <c r="E127" s="50">
        <f t="shared" si="12"/>
        <v>54</v>
      </c>
      <c r="F127" s="50">
        <f t="shared" si="12"/>
        <v>1224</v>
      </c>
      <c r="G127" s="50">
        <f t="shared" si="12"/>
        <v>-85</v>
      </c>
      <c r="H127" s="57">
        <v>-0.9645</v>
      </c>
      <c r="I127" s="57">
        <v>0.469</v>
      </c>
      <c r="J127" s="57">
        <v>1.2249</v>
      </c>
      <c r="K127" s="57">
        <v>11.426</v>
      </c>
      <c r="L127" s="58">
        <v>30.93</v>
      </c>
      <c r="M127" s="95">
        <v>1.53</v>
      </c>
      <c r="N127" s="96">
        <v>1.07</v>
      </c>
      <c r="O127" s="103"/>
    </row>
    <row r="128" spans="1:15" ht="12.75">
      <c r="A128" s="47">
        <v>2.34</v>
      </c>
      <c r="B128" s="55">
        <f t="shared" si="8"/>
        <v>3074.8424</v>
      </c>
      <c r="C128" s="50">
        <f t="shared" si="9"/>
        <v>3151.71346</v>
      </c>
      <c r="D128" s="56">
        <f t="shared" si="10"/>
        <v>14.767200000000003</v>
      </c>
      <c r="E128" s="50">
        <f t="shared" si="12"/>
        <v>54</v>
      </c>
      <c r="F128" s="50">
        <f t="shared" si="12"/>
        <v>1224</v>
      </c>
      <c r="G128" s="50">
        <f t="shared" si="12"/>
        <v>-85</v>
      </c>
      <c r="H128" s="57">
        <v>-0.981</v>
      </c>
      <c r="I128" s="57">
        <v>0.462</v>
      </c>
      <c r="J128" s="57">
        <v>1.2302</v>
      </c>
      <c r="K128" s="57">
        <v>11.39</v>
      </c>
      <c r="L128" s="58">
        <v>30.957</v>
      </c>
      <c r="M128" s="95">
        <v>1.54</v>
      </c>
      <c r="N128" s="96">
        <v>1.06</v>
      </c>
      <c r="O128" s="103"/>
    </row>
    <row r="129" spans="1:15" ht="12.75">
      <c r="A129" s="47">
        <v>2.35</v>
      </c>
      <c r="B129" s="55">
        <f t="shared" si="8"/>
        <v>3089.6150000000002</v>
      </c>
      <c r="C129" s="50">
        <f t="shared" si="9"/>
        <v>3166.855375</v>
      </c>
      <c r="D129" s="56">
        <f t="shared" si="10"/>
        <v>14.77800000000002</v>
      </c>
      <c r="E129" s="50">
        <f t="shared" si="12"/>
        <v>54</v>
      </c>
      <c r="F129" s="50">
        <f t="shared" si="12"/>
        <v>1224</v>
      </c>
      <c r="G129" s="50">
        <f t="shared" si="12"/>
        <v>-85</v>
      </c>
      <c r="H129" s="57">
        <v>-0.9975</v>
      </c>
      <c r="I129" s="57">
        <v>0.455</v>
      </c>
      <c r="J129" s="57">
        <v>1.2355</v>
      </c>
      <c r="K129" s="57">
        <v>11.354</v>
      </c>
      <c r="L129" s="58">
        <v>30.984</v>
      </c>
      <c r="M129" s="95">
        <v>1.55</v>
      </c>
      <c r="N129" s="96">
        <v>1.05</v>
      </c>
      <c r="O129" s="103"/>
    </row>
    <row r="130" spans="1:15" ht="12.75">
      <c r="A130" s="47">
        <v>2.36</v>
      </c>
      <c r="B130" s="55">
        <f t="shared" si="8"/>
        <v>3104.3984</v>
      </c>
      <c r="C130" s="50">
        <f t="shared" si="9"/>
        <v>3182.00836</v>
      </c>
      <c r="D130" s="56">
        <f t="shared" si="10"/>
        <v>14.788800000000037</v>
      </c>
      <c r="E130" s="50">
        <f t="shared" si="12"/>
        <v>54</v>
      </c>
      <c r="F130" s="50">
        <f t="shared" si="12"/>
        <v>1224</v>
      </c>
      <c r="G130" s="50">
        <f t="shared" si="12"/>
        <v>-85</v>
      </c>
      <c r="H130" s="57">
        <v>-1.014</v>
      </c>
      <c r="I130" s="57">
        <v>0.448</v>
      </c>
      <c r="J130" s="57">
        <v>1.2408</v>
      </c>
      <c r="K130" s="57">
        <v>11.318</v>
      </c>
      <c r="L130" s="58">
        <v>31.011</v>
      </c>
      <c r="M130" s="95">
        <v>1.56</v>
      </c>
      <c r="N130" s="96">
        <v>1.04</v>
      </c>
      <c r="O130" s="103"/>
    </row>
    <row r="131" spans="1:15" ht="12.75">
      <c r="A131" s="47">
        <v>2.37</v>
      </c>
      <c r="B131" s="55">
        <f t="shared" si="8"/>
        <v>3119.1926000000003</v>
      </c>
      <c r="C131" s="50">
        <f t="shared" si="9"/>
        <v>3197.172415</v>
      </c>
      <c r="D131" s="56">
        <f t="shared" si="10"/>
        <v>14.799599999999828</v>
      </c>
      <c r="E131" s="50">
        <f t="shared" si="12"/>
        <v>54</v>
      </c>
      <c r="F131" s="50">
        <f t="shared" si="12"/>
        <v>1224</v>
      </c>
      <c r="G131" s="50">
        <f t="shared" si="12"/>
        <v>-85</v>
      </c>
      <c r="H131" s="57">
        <v>-1.0305</v>
      </c>
      <c r="I131" s="57">
        <v>0.441</v>
      </c>
      <c r="J131" s="57">
        <v>1.2461</v>
      </c>
      <c r="K131" s="57">
        <v>11.282</v>
      </c>
      <c r="L131" s="58">
        <v>31.038</v>
      </c>
      <c r="M131" s="95">
        <v>1.57</v>
      </c>
      <c r="N131" s="96">
        <v>1.03</v>
      </c>
      <c r="O131" s="103"/>
    </row>
    <row r="132" spans="1:15" ht="12.75">
      <c r="A132" s="47">
        <v>2.38</v>
      </c>
      <c r="B132" s="55">
        <f aca="true" t="shared" si="13" ref="B132:B195">E132*A132^2+F132*A132+G132</f>
        <v>3133.9975999999997</v>
      </c>
      <c r="C132" s="50">
        <f t="shared" si="9"/>
        <v>3212.3475399999993</v>
      </c>
      <c r="D132" s="56">
        <f t="shared" si="10"/>
        <v>14.810399999999845</v>
      </c>
      <c r="E132" s="50">
        <f t="shared" si="12"/>
        <v>54</v>
      </c>
      <c r="F132" s="50">
        <f t="shared" si="12"/>
        <v>1224</v>
      </c>
      <c r="G132" s="50">
        <f t="shared" si="12"/>
        <v>-85</v>
      </c>
      <c r="H132" s="57">
        <v>-1.047</v>
      </c>
      <c r="I132" s="57">
        <v>0.434</v>
      </c>
      <c r="J132" s="57">
        <v>1.2514</v>
      </c>
      <c r="K132" s="57">
        <v>11.246</v>
      </c>
      <c r="L132" s="58">
        <v>31.065</v>
      </c>
      <c r="M132" s="95">
        <v>1.58</v>
      </c>
      <c r="N132" s="96">
        <v>1.02</v>
      </c>
      <c r="O132" s="103"/>
    </row>
    <row r="133" spans="1:15" ht="12.75">
      <c r="A133" s="47">
        <v>2.39</v>
      </c>
      <c r="B133" s="55">
        <f t="shared" si="13"/>
        <v>3148.8134</v>
      </c>
      <c r="C133" s="50">
        <f t="shared" si="9"/>
        <v>3227.5337349999995</v>
      </c>
      <c r="D133" s="56">
        <f t="shared" si="10"/>
        <v>14.82120000000009</v>
      </c>
      <c r="E133" s="50">
        <f t="shared" si="12"/>
        <v>54</v>
      </c>
      <c r="F133" s="50">
        <f t="shared" si="12"/>
        <v>1224</v>
      </c>
      <c r="G133" s="50">
        <f t="shared" si="12"/>
        <v>-85</v>
      </c>
      <c r="H133" s="57">
        <v>-1.0635</v>
      </c>
      <c r="I133" s="57">
        <v>0.427</v>
      </c>
      <c r="J133" s="57">
        <v>1.2567</v>
      </c>
      <c r="K133" s="57">
        <v>11.21</v>
      </c>
      <c r="L133" s="58">
        <v>31.092</v>
      </c>
      <c r="M133" s="95">
        <v>1.59</v>
      </c>
      <c r="N133" s="96">
        <v>1.01</v>
      </c>
      <c r="O133" s="103"/>
    </row>
    <row r="134" spans="1:15" ht="12.75">
      <c r="A134" s="46">
        <v>2.4</v>
      </c>
      <c r="B134" s="51">
        <f t="shared" si="13"/>
        <v>3163.64</v>
      </c>
      <c r="C134" s="52">
        <f aca="true" t="shared" si="14" ref="C134:C197">B134*1.025</f>
        <v>3242.7309999999998</v>
      </c>
      <c r="D134" s="53">
        <f aca="true" t="shared" si="15" ref="D134:D197">(B135-B133)/2</f>
        <v>14.832000000000107</v>
      </c>
      <c r="E134" s="52">
        <f t="shared" si="12"/>
        <v>54</v>
      </c>
      <c r="F134" s="52">
        <f t="shared" si="12"/>
        <v>1224</v>
      </c>
      <c r="G134" s="52">
        <f t="shared" si="12"/>
        <v>-85</v>
      </c>
      <c r="H134" s="52">
        <v>-1.08</v>
      </c>
      <c r="I134" s="52">
        <v>0.42</v>
      </c>
      <c r="J134" s="52">
        <v>1.262</v>
      </c>
      <c r="K134" s="52">
        <v>11.174</v>
      </c>
      <c r="L134" s="54">
        <v>31.119</v>
      </c>
      <c r="M134" s="95">
        <v>1.6</v>
      </c>
      <c r="N134" s="96">
        <v>1</v>
      </c>
      <c r="O134" s="103"/>
    </row>
    <row r="135" spans="1:15" ht="12.75">
      <c r="A135" s="47">
        <v>2.41</v>
      </c>
      <c r="B135" s="55">
        <f t="shared" si="13"/>
        <v>3178.4774</v>
      </c>
      <c r="C135" s="50">
        <f t="shared" si="14"/>
        <v>3257.939335</v>
      </c>
      <c r="D135" s="56">
        <f t="shared" si="15"/>
        <v>14.842800000000125</v>
      </c>
      <c r="E135" s="50">
        <f t="shared" si="12"/>
        <v>54</v>
      </c>
      <c r="F135" s="50">
        <f t="shared" si="12"/>
        <v>1224</v>
      </c>
      <c r="G135" s="50">
        <f t="shared" si="12"/>
        <v>-85</v>
      </c>
      <c r="H135" s="57">
        <v>-1.099</v>
      </c>
      <c r="I135" s="57">
        <v>0.4125</v>
      </c>
      <c r="J135" s="57">
        <v>1.2674</v>
      </c>
      <c r="K135" s="57">
        <v>11.1422</v>
      </c>
      <c r="L135" s="58">
        <v>31.1428</v>
      </c>
      <c r="M135" s="95">
        <v>1.61</v>
      </c>
      <c r="N135" s="96">
        <v>0.9915</v>
      </c>
      <c r="O135" s="103"/>
    </row>
    <row r="136" spans="1:15" ht="12.75">
      <c r="A136" s="47">
        <v>2.42</v>
      </c>
      <c r="B136" s="55">
        <f t="shared" si="13"/>
        <v>3193.3256</v>
      </c>
      <c r="C136" s="50">
        <f t="shared" si="14"/>
        <v>3273.15874</v>
      </c>
      <c r="D136" s="56">
        <f t="shared" si="15"/>
        <v>14.853599999999915</v>
      </c>
      <c r="E136" s="50">
        <f t="shared" si="12"/>
        <v>54</v>
      </c>
      <c r="F136" s="50">
        <f t="shared" si="12"/>
        <v>1224</v>
      </c>
      <c r="G136" s="50">
        <f t="shared" si="12"/>
        <v>-85</v>
      </c>
      <c r="H136" s="57">
        <v>-1.118</v>
      </c>
      <c r="I136" s="57">
        <v>0.405</v>
      </c>
      <c r="J136" s="57">
        <v>1.2728</v>
      </c>
      <c r="K136" s="57">
        <v>11.1104</v>
      </c>
      <c r="L136" s="58">
        <v>31.1666</v>
      </c>
      <c r="M136" s="95">
        <v>1.62</v>
      </c>
      <c r="N136" s="96">
        <v>0.983</v>
      </c>
      <c r="O136" s="103"/>
    </row>
    <row r="137" spans="1:15" ht="12.75">
      <c r="A137" s="47">
        <v>2.43</v>
      </c>
      <c r="B137" s="55">
        <f t="shared" si="13"/>
        <v>3208.1846</v>
      </c>
      <c r="C137" s="50">
        <f t="shared" si="14"/>
        <v>3288.3892149999997</v>
      </c>
      <c r="D137" s="56">
        <f t="shared" si="15"/>
        <v>14.864399999999932</v>
      </c>
      <c r="E137" s="50">
        <f t="shared" si="12"/>
        <v>54</v>
      </c>
      <c r="F137" s="50">
        <f t="shared" si="12"/>
        <v>1224</v>
      </c>
      <c r="G137" s="50">
        <f t="shared" si="12"/>
        <v>-85</v>
      </c>
      <c r="H137" s="57">
        <v>-1.137</v>
      </c>
      <c r="I137" s="57">
        <v>0.3975</v>
      </c>
      <c r="J137" s="57">
        <v>1.2782</v>
      </c>
      <c r="K137" s="57">
        <v>11.0786</v>
      </c>
      <c r="L137" s="58">
        <v>31.1904</v>
      </c>
      <c r="M137" s="95">
        <v>1.63</v>
      </c>
      <c r="N137" s="96">
        <v>0.9745</v>
      </c>
      <c r="O137" s="103"/>
    </row>
    <row r="138" spans="1:15" ht="12.75">
      <c r="A138" s="47">
        <v>2.44</v>
      </c>
      <c r="B138" s="55">
        <f t="shared" si="13"/>
        <v>3223.0544</v>
      </c>
      <c r="C138" s="50">
        <f t="shared" si="14"/>
        <v>3303.6307599999996</v>
      </c>
      <c r="D138" s="56">
        <f t="shared" si="15"/>
        <v>14.875200000000177</v>
      </c>
      <c r="E138" s="50">
        <f t="shared" si="12"/>
        <v>54</v>
      </c>
      <c r="F138" s="50">
        <f t="shared" si="12"/>
        <v>1224</v>
      </c>
      <c r="G138" s="50">
        <f t="shared" si="12"/>
        <v>-85</v>
      </c>
      <c r="H138" s="57">
        <v>-1.156</v>
      </c>
      <c r="I138" s="57">
        <v>0.39</v>
      </c>
      <c r="J138" s="57">
        <v>1.2836</v>
      </c>
      <c r="K138" s="57">
        <v>11.0468</v>
      </c>
      <c r="L138" s="58">
        <v>31.2142</v>
      </c>
      <c r="M138" s="95">
        <v>1.64</v>
      </c>
      <c r="N138" s="96">
        <v>0.966</v>
      </c>
      <c r="O138" s="103"/>
    </row>
    <row r="139" spans="1:15" ht="12.75">
      <c r="A139" s="47">
        <v>2.45</v>
      </c>
      <c r="B139" s="55">
        <f t="shared" si="13"/>
        <v>3237.9350000000004</v>
      </c>
      <c r="C139" s="50">
        <f t="shared" si="14"/>
        <v>3318.8833750000003</v>
      </c>
      <c r="D139" s="56">
        <f t="shared" si="15"/>
        <v>14.885999999999967</v>
      </c>
      <c r="E139" s="50">
        <f t="shared" si="12"/>
        <v>54</v>
      </c>
      <c r="F139" s="50">
        <f t="shared" si="12"/>
        <v>1224</v>
      </c>
      <c r="G139" s="50">
        <f t="shared" si="12"/>
        <v>-85</v>
      </c>
      <c r="H139" s="57">
        <v>-1.175</v>
      </c>
      <c r="I139" s="57">
        <v>0.3825</v>
      </c>
      <c r="J139" s="57">
        <v>1.289</v>
      </c>
      <c r="K139" s="57">
        <v>11.015</v>
      </c>
      <c r="L139" s="58">
        <v>31.238</v>
      </c>
      <c r="M139" s="95">
        <v>1.65</v>
      </c>
      <c r="N139" s="96">
        <v>0.9575</v>
      </c>
      <c r="O139" s="103"/>
    </row>
    <row r="140" spans="1:15" ht="12.75">
      <c r="A140" s="47">
        <v>2.46</v>
      </c>
      <c r="B140" s="55">
        <f t="shared" si="13"/>
        <v>3252.8264</v>
      </c>
      <c r="C140" s="50">
        <f t="shared" si="14"/>
        <v>3334.14706</v>
      </c>
      <c r="D140" s="56">
        <f t="shared" si="15"/>
        <v>14.896799999999985</v>
      </c>
      <c r="E140" s="50">
        <f t="shared" si="12"/>
        <v>54</v>
      </c>
      <c r="F140" s="50">
        <f t="shared" si="12"/>
        <v>1224</v>
      </c>
      <c r="G140" s="50">
        <f t="shared" si="12"/>
        <v>-85</v>
      </c>
      <c r="H140" s="57">
        <v>-1.194</v>
      </c>
      <c r="I140" s="57">
        <v>0.375</v>
      </c>
      <c r="J140" s="57">
        <v>1.2944</v>
      </c>
      <c r="K140" s="57">
        <v>10.9832</v>
      </c>
      <c r="L140" s="58">
        <v>31.2618</v>
      </c>
      <c r="M140" s="95">
        <v>1.66</v>
      </c>
      <c r="N140" s="96">
        <v>0.949</v>
      </c>
      <c r="O140" s="103"/>
    </row>
    <row r="141" spans="1:15" ht="12.75">
      <c r="A141" s="47">
        <v>2.47</v>
      </c>
      <c r="B141" s="55">
        <f t="shared" si="13"/>
        <v>3267.7286000000004</v>
      </c>
      <c r="C141" s="50">
        <f t="shared" si="14"/>
        <v>3349.421815</v>
      </c>
      <c r="D141" s="56">
        <f t="shared" si="15"/>
        <v>14.907600000000002</v>
      </c>
      <c r="E141" s="50">
        <f t="shared" si="12"/>
        <v>54</v>
      </c>
      <c r="F141" s="50">
        <f t="shared" si="12"/>
        <v>1224</v>
      </c>
      <c r="G141" s="50">
        <f t="shared" si="12"/>
        <v>-85</v>
      </c>
      <c r="H141" s="57">
        <v>-1.213</v>
      </c>
      <c r="I141" s="57">
        <v>0.3675</v>
      </c>
      <c r="J141" s="57">
        <v>1.2998</v>
      </c>
      <c r="K141" s="57">
        <v>10.9514</v>
      </c>
      <c r="L141" s="58">
        <v>31.2856</v>
      </c>
      <c r="M141" s="95">
        <v>1.67</v>
      </c>
      <c r="N141" s="96">
        <v>0.9405</v>
      </c>
      <c r="O141" s="103"/>
    </row>
    <row r="142" spans="1:15" ht="12.75">
      <c r="A142" s="47">
        <v>2.48</v>
      </c>
      <c r="B142" s="55">
        <f t="shared" si="13"/>
        <v>3282.6416</v>
      </c>
      <c r="C142" s="50">
        <f t="shared" si="14"/>
        <v>3364.7076399999996</v>
      </c>
      <c r="D142" s="56">
        <f t="shared" si="15"/>
        <v>14.91840000000002</v>
      </c>
      <c r="E142" s="50">
        <f t="shared" si="12"/>
        <v>54</v>
      </c>
      <c r="F142" s="50">
        <f t="shared" si="12"/>
        <v>1224</v>
      </c>
      <c r="G142" s="50">
        <f t="shared" si="12"/>
        <v>-85</v>
      </c>
      <c r="H142" s="57">
        <v>-1.232</v>
      </c>
      <c r="I142" s="57">
        <v>0.36</v>
      </c>
      <c r="J142" s="57">
        <v>1.3052</v>
      </c>
      <c r="K142" s="57">
        <v>10.9196</v>
      </c>
      <c r="L142" s="58">
        <v>31.3094</v>
      </c>
      <c r="M142" s="95">
        <v>1.68</v>
      </c>
      <c r="N142" s="96">
        <v>0.932</v>
      </c>
      <c r="O142" s="103"/>
    </row>
    <row r="143" spans="1:15" ht="12.75">
      <c r="A143" s="47">
        <v>2.49</v>
      </c>
      <c r="B143" s="55">
        <f t="shared" si="13"/>
        <v>3297.5654000000004</v>
      </c>
      <c r="C143" s="50">
        <f t="shared" si="14"/>
        <v>3380.004535</v>
      </c>
      <c r="D143" s="56">
        <f t="shared" si="15"/>
        <v>14.929200000000037</v>
      </c>
      <c r="E143" s="50">
        <f t="shared" si="12"/>
        <v>54</v>
      </c>
      <c r="F143" s="50">
        <f t="shared" si="12"/>
        <v>1224</v>
      </c>
      <c r="G143" s="50">
        <f t="shared" si="12"/>
        <v>-85</v>
      </c>
      <c r="H143" s="57">
        <v>-1.251</v>
      </c>
      <c r="I143" s="57">
        <v>0.3525</v>
      </c>
      <c r="J143" s="57">
        <v>1.3106</v>
      </c>
      <c r="K143" s="57">
        <v>10.8878</v>
      </c>
      <c r="L143" s="58">
        <v>31.3332</v>
      </c>
      <c r="M143" s="95">
        <v>1.69</v>
      </c>
      <c r="N143" s="96">
        <v>0.9235</v>
      </c>
      <c r="O143" s="103"/>
    </row>
    <row r="144" spans="1:15" ht="12.75">
      <c r="A144" s="46">
        <v>2.5</v>
      </c>
      <c r="B144" s="51">
        <f t="shared" si="13"/>
        <v>3312.5</v>
      </c>
      <c r="C144" s="52">
        <f t="shared" si="14"/>
        <v>3395.3124999999995</v>
      </c>
      <c r="D144" s="53">
        <f t="shared" si="15"/>
        <v>14.9399999999996</v>
      </c>
      <c r="E144" s="52">
        <f t="shared" si="12"/>
        <v>54</v>
      </c>
      <c r="F144" s="52">
        <f t="shared" si="12"/>
        <v>1224</v>
      </c>
      <c r="G144" s="52">
        <f t="shared" si="12"/>
        <v>-85</v>
      </c>
      <c r="H144" s="52">
        <v>-1.27</v>
      </c>
      <c r="I144" s="52">
        <v>0.345</v>
      </c>
      <c r="J144" s="52">
        <v>1.316</v>
      </c>
      <c r="K144" s="52">
        <v>10.856</v>
      </c>
      <c r="L144" s="54">
        <v>31.357</v>
      </c>
      <c r="M144" s="95">
        <v>1.7</v>
      </c>
      <c r="N144" s="96">
        <v>0.915</v>
      </c>
      <c r="O144" s="103"/>
    </row>
    <row r="145" spans="1:15" ht="12.75">
      <c r="A145" s="47">
        <v>2.51</v>
      </c>
      <c r="B145" s="55">
        <f t="shared" si="13"/>
        <v>3327.4453999999996</v>
      </c>
      <c r="C145" s="50">
        <f t="shared" si="14"/>
        <v>3410.6315349999995</v>
      </c>
      <c r="D145" s="56">
        <f t="shared" si="15"/>
        <v>14.950800000000072</v>
      </c>
      <c r="E145" s="50">
        <f t="shared" si="12"/>
        <v>54</v>
      </c>
      <c r="F145" s="50">
        <f t="shared" si="12"/>
        <v>1224</v>
      </c>
      <c r="G145" s="50">
        <f t="shared" si="12"/>
        <v>-85</v>
      </c>
      <c r="H145" s="57">
        <v>-1.289</v>
      </c>
      <c r="I145" s="57">
        <v>0.3375</v>
      </c>
      <c r="J145" s="57">
        <v>1.3213</v>
      </c>
      <c r="K145" s="57">
        <v>10.8242</v>
      </c>
      <c r="L145" s="58">
        <v>31.3813</v>
      </c>
      <c r="M145" s="95">
        <v>1.71</v>
      </c>
      <c r="N145" s="96">
        <v>0.9065</v>
      </c>
      <c r="O145" s="103"/>
    </row>
    <row r="146" spans="1:15" ht="12.75">
      <c r="A146" s="47">
        <v>2.52</v>
      </c>
      <c r="B146" s="55">
        <f t="shared" si="13"/>
        <v>3342.4016</v>
      </c>
      <c r="C146" s="50">
        <f t="shared" si="14"/>
        <v>3425.96164</v>
      </c>
      <c r="D146" s="56">
        <f t="shared" si="15"/>
        <v>14.96160000000009</v>
      </c>
      <c r="E146" s="50">
        <f t="shared" si="12"/>
        <v>54</v>
      </c>
      <c r="F146" s="50">
        <f t="shared" si="12"/>
        <v>1224</v>
      </c>
      <c r="G146" s="50">
        <f t="shared" si="12"/>
        <v>-85</v>
      </c>
      <c r="H146" s="57">
        <v>-1.308</v>
      </c>
      <c r="I146" s="57">
        <v>0.33</v>
      </c>
      <c r="J146" s="57">
        <v>1.3266</v>
      </c>
      <c r="K146" s="57">
        <v>10.7924</v>
      </c>
      <c r="L146" s="58">
        <v>31.4056</v>
      </c>
      <c r="M146" s="95">
        <v>1.72</v>
      </c>
      <c r="N146" s="96">
        <v>0.898</v>
      </c>
      <c r="O146" s="103"/>
    </row>
    <row r="147" spans="1:15" ht="12.75">
      <c r="A147" s="47">
        <v>2.53</v>
      </c>
      <c r="B147" s="55">
        <f t="shared" si="13"/>
        <v>3357.3686</v>
      </c>
      <c r="C147" s="50">
        <f t="shared" si="14"/>
        <v>3441.3028149999996</v>
      </c>
      <c r="D147" s="56">
        <f t="shared" si="15"/>
        <v>14.97239999999988</v>
      </c>
      <c r="E147" s="50">
        <f t="shared" si="12"/>
        <v>54</v>
      </c>
      <c r="F147" s="50">
        <f t="shared" si="12"/>
        <v>1224</v>
      </c>
      <c r="G147" s="50">
        <f t="shared" si="12"/>
        <v>-85</v>
      </c>
      <c r="H147" s="57">
        <v>-1.327</v>
      </c>
      <c r="I147" s="57">
        <v>0.3225</v>
      </c>
      <c r="J147" s="57">
        <v>1.3319</v>
      </c>
      <c r="K147" s="57">
        <v>10.7606</v>
      </c>
      <c r="L147" s="58">
        <v>31.4299</v>
      </c>
      <c r="M147" s="95">
        <v>1.73</v>
      </c>
      <c r="N147" s="96">
        <v>0.8895</v>
      </c>
      <c r="O147" s="103"/>
    </row>
    <row r="148" spans="1:15" ht="12.75">
      <c r="A148" s="47">
        <v>2.54</v>
      </c>
      <c r="B148" s="55">
        <f t="shared" si="13"/>
        <v>3372.3464</v>
      </c>
      <c r="C148" s="50">
        <f t="shared" si="14"/>
        <v>3456.6550599999996</v>
      </c>
      <c r="D148" s="56">
        <f t="shared" si="15"/>
        <v>14.983200000000124</v>
      </c>
      <c r="E148" s="50">
        <f aca="true" t="shared" si="16" ref="E148:G193">E147</f>
        <v>54</v>
      </c>
      <c r="F148" s="50">
        <f t="shared" si="16"/>
        <v>1224</v>
      </c>
      <c r="G148" s="50">
        <f t="shared" si="16"/>
        <v>-85</v>
      </c>
      <c r="H148" s="57">
        <v>-1.346</v>
      </c>
      <c r="I148" s="57">
        <v>0.315</v>
      </c>
      <c r="J148" s="57">
        <v>1.3372</v>
      </c>
      <c r="K148" s="57">
        <v>10.7288</v>
      </c>
      <c r="L148" s="58">
        <v>31.4542</v>
      </c>
      <c r="M148" s="95">
        <v>1.74</v>
      </c>
      <c r="N148" s="96">
        <v>0.881</v>
      </c>
      <c r="O148" s="103"/>
    </row>
    <row r="149" spans="1:15" ht="12.75">
      <c r="A149" s="47">
        <v>2.55</v>
      </c>
      <c r="B149" s="55">
        <f t="shared" si="13"/>
        <v>3387.335</v>
      </c>
      <c r="C149" s="50">
        <f t="shared" si="14"/>
        <v>3472.0183749999997</v>
      </c>
      <c r="D149" s="56">
        <f t="shared" si="15"/>
        <v>14.994000000000142</v>
      </c>
      <c r="E149" s="50">
        <f t="shared" si="16"/>
        <v>54</v>
      </c>
      <c r="F149" s="50">
        <f t="shared" si="16"/>
        <v>1224</v>
      </c>
      <c r="G149" s="50">
        <f t="shared" si="16"/>
        <v>-85</v>
      </c>
      <c r="H149" s="57">
        <v>-1.365</v>
      </c>
      <c r="I149" s="57">
        <v>0.3075</v>
      </c>
      <c r="J149" s="57">
        <v>1.3425</v>
      </c>
      <c r="K149" s="57">
        <v>10.697</v>
      </c>
      <c r="L149" s="58">
        <v>31.4785</v>
      </c>
      <c r="M149" s="95">
        <v>1.75</v>
      </c>
      <c r="N149" s="96">
        <v>0.8725</v>
      </c>
      <c r="O149" s="103"/>
    </row>
    <row r="150" spans="1:15" ht="12.75">
      <c r="A150" s="47">
        <v>2.56</v>
      </c>
      <c r="B150" s="55">
        <f t="shared" si="13"/>
        <v>3402.3344</v>
      </c>
      <c r="C150" s="50">
        <f t="shared" si="14"/>
        <v>3487.3927599999997</v>
      </c>
      <c r="D150" s="56">
        <f t="shared" si="15"/>
        <v>15.004799999999932</v>
      </c>
      <c r="E150" s="50">
        <f t="shared" si="16"/>
        <v>54</v>
      </c>
      <c r="F150" s="50">
        <f t="shared" si="16"/>
        <v>1224</v>
      </c>
      <c r="G150" s="50">
        <f t="shared" si="16"/>
        <v>-85</v>
      </c>
      <c r="H150" s="57">
        <v>-1.384</v>
      </c>
      <c r="I150" s="57">
        <v>0.3</v>
      </c>
      <c r="J150" s="57">
        <v>1.3478</v>
      </c>
      <c r="K150" s="57">
        <v>10.6652</v>
      </c>
      <c r="L150" s="58">
        <v>31.5028</v>
      </c>
      <c r="M150" s="95">
        <v>1.76</v>
      </c>
      <c r="N150" s="96">
        <v>0.864</v>
      </c>
      <c r="O150" s="103"/>
    </row>
    <row r="151" spans="1:15" ht="12.75">
      <c r="A151" s="47">
        <v>2.57</v>
      </c>
      <c r="B151" s="55">
        <f t="shared" si="13"/>
        <v>3417.3446</v>
      </c>
      <c r="C151" s="50">
        <f t="shared" si="14"/>
        <v>3502.778215</v>
      </c>
      <c r="D151" s="56">
        <f t="shared" si="15"/>
        <v>15.01559999999995</v>
      </c>
      <c r="E151" s="50">
        <f t="shared" si="16"/>
        <v>54</v>
      </c>
      <c r="F151" s="50">
        <f t="shared" si="16"/>
        <v>1224</v>
      </c>
      <c r="G151" s="50">
        <f t="shared" si="16"/>
        <v>-85</v>
      </c>
      <c r="H151" s="57">
        <v>-1.403</v>
      </c>
      <c r="I151" s="57">
        <v>0.2925</v>
      </c>
      <c r="J151" s="57">
        <v>1.3531</v>
      </c>
      <c r="K151" s="57">
        <v>10.6334</v>
      </c>
      <c r="L151" s="58">
        <v>31.5271</v>
      </c>
      <c r="M151" s="95">
        <v>1.77</v>
      </c>
      <c r="N151" s="96">
        <v>0.8555</v>
      </c>
      <c r="O151" s="103"/>
    </row>
    <row r="152" spans="1:15" ht="12.75">
      <c r="A152" s="47">
        <v>2.58</v>
      </c>
      <c r="B152" s="55">
        <f t="shared" si="13"/>
        <v>3432.3656</v>
      </c>
      <c r="C152" s="50">
        <f t="shared" si="14"/>
        <v>3518.17474</v>
      </c>
      <c r="D152" s="56">
        <f t="shared" si="15"/>
        <v>15.026399999999967</v>
      </c>
      <c r="E152" s="50">
        <f t="shared" si="16"/>
        <v>54</v>
      </c>
      <c r="F152" s="50">
        <f t="shared" si="16"/>
        <v>1224</v>
      </c>
      <c r="G152" s="50">
        <f t="shared" si="16"/>
        <v>-85</v>
      </c>
      <c r="H152" s="57">
        <v>-1.422</v>
      </c>
      <c r="I152" s="57">
        <v>0.285</v>
      </c>
      <c r="J152" s="57">
        <v>1.3584</v>
      </c>
      <c r="K152" s="57">
        <v>10.6016</v>
      </c>
      <c r="L152" s="58">
        <v>31.5514</v>
      </c>
      <c r="M152" s="95">
        <v>1.78</v>
      </c>
      <c r="N152" s="96">
        <v>0.847</v>
      </c>
      <c r="O152" s="103"/>
    </row>
    <row r="153" spans="1:15" ht="12.75">
      <c r="A153" s="47">
        <v>2.59</v>
      </c>
      <c r="B153" s="55">
        <f t="shared" si="13"/>
        <v>3447.3974</v>
      </c>
      <c r="C153" s="50">
        <f t="shared" si="14"/>
        <v>3533.5823349999996</v>
      </c>
      <c r="D153" s="56">
        <f t="shared" si="15"/>
        <v>15.037199999999984</v>
      </c>
      <c r="E153" s="50">
        <f t="shared" si="16"/>
        <v>54</v>
      </c>
      <c r="F153" s="50">
        <f t="shared" si="16"/>
        <v>1224</v>
      </c>
      <c r="G153" s="50">
        <f t="shared" si="16"/>
        <v>-85</v>
      </c>
      <c r="H153" s="57">
        <v>-1.441</v>
      </c>
      <c r="I153" s="57">
        <v>0.2775</v>
      </c>
      <c r="J153" s="57">
        <v>1.3637</v>
      </c>
      <c r="K153" s="57">
        <v>10.5698</v>
      </c>
      <c r="L153" s="58">
        <v>31.5757</v>
      </c>
      <c r="M153" s="95">
        <v>1.79</v>
      </c>
      <c r="N153" s="96">
        <v>0.8385</v>
      </c>
      <c r="O153" s="103"/>
    </row>
    <row r="154" spans="1:15" ht="12.75">
      <c r="A154" s="46">
        <v>2.6</v>
      </c>
      <c r="B154" s="51">
        <f t="shared" si="13"/>
        <v>3462.44</v>
      </c>
      <c r="C154" s="52">
        <f t="shared" si="14"/>
        <v>3549.0009999999997</v>
      </c>
      <c r="D154" s="53">
        <f t="shared" si="15"/>
        <v>15.048000000000002</v>
      </c>
      <c r="E154" s="52">
        <f t="shared" si="16"/>
        <v>54</v>
      </c>
      <c r="F154" s="52">
        <f t="shared" si="16"/>
        <v>1224</v>
      </c>
      <c r="G154" s="52">
        <f t="shared" si="16"/>
        <v>-85</v>
      </c>
      <c r="H154" s="52">
        <v>-1.46</v>
      </c>
      <c r="I154" s="52">
        <v>0.27</v>
      </c>
      <c r="J154" s="52">
        <v>1.369</v>
      </c>
      <c r="K154" s="52">
        <v>10.538</v>
      </c>
      <c r="L154" s="54">
        <v>31.6</v>
      </c>
      <c r="M154" s="95">
        <v>1.8</v>
      </c>
      <c r="N154" s="96">
        <v>0.83</v>
      </c>
      <c r="O154" s="103"/>
    </row>
    <row r="155" spans="1:15" ht="12.75">
      <c r="A155" s="47">
        <v>2.61</v>
      </c>
      <c r="B155" s="55">
        <f t="shared" si="13"/>
        <v>3477.4934</v>
      </c>
      <c r="C155" s="50">
        <f t="shared" si="14"/>
        <v>3564.4307349999995</v>
      </c>
      <c r="D155" s="56">
        <f t="shared" si="15"/>
        <v>15.05880000000002</v>
      </c>
      <c r="E155" s="50">
        <f t="shared" si="16"/>
        <v>54</v>
      </c>
      <c r="F155" s="50">
        <f t="shared" si="16"/>
        <v>1224</v>
      </c>
      <c r="G155" s="50">
        <f t="shared" si="16"/>
        <v>-85</v>
      </c>
      <c r="H155" s="57">
        <v>-1.482</v>
      </c>
      <c r="I155" s="57">
        <v>0.262</v>
      </c>
      <c r="J155" s="57">
        <v>1.3744</v>
      </c>
      <c r="K155" s="57">
        <v>10.5143</v>
      </c>
      <c r="L155" s="58">
        <v>31.625</v>
      </c>
      <c r="M155" s="95">
        <v>1.81</v>
      </c>
      <c r="N155" s="96">
        <v>0.8228</v>
      </c>
      <c r="O155" s="103"/>
    </row>
    <row r="156" spans="1:15" ht="12.75">
      <c r="A156" s="47">
        <v>2.62</v>
      </c>
      <c r="B156" s="55">
        <f t="shared" si="13"/>
        <v>3492.5576</v>
      </c>
      <c r="C156" s="50">
        <f t="shared" si="14"/>
        <v>3579.8715399999996</v>
      </c>
      <c r="D156" s="56">
        <f t="shared" si="15"/>
        <v>15.069600000000037</v>
      </c>
      <c r="E156" s="50">
        <f t="shared" si="16"/>
        <v>54</v>
      </c>
      <c r="F156" s="50">
        <f t="shared" si="16"/>
        <v>1224</v>
      </c>
      <c r="G156" s="50">
        <f t="shared" si="16"/>
        <v>-85</v>
      </c>
      <c r="H156" s="57">
        <v>-1.504</v>
      </c>
      <c r="I156" s="57">
        <v>0.254</v>
      </c>
      <c r="J156" s="57">
        <v>1.3798</v>
      </c>
      <c r="K156" s="57">
        <v>10.4906</v>
      </c>
      <c r="L156" s="58">
        <v>31.65</v>
      </c>
      <c r="M156" s="95">
        <v>1.82</v>
      </c>
      <c r="N156" s="96">
        <v>0.8155</v>
      </c>
      <c r="O156" s="103"/>
    </row>
    <row r="157" spans="1:15" ht="12.75">
      <c r="A157" s="47">
        <v>2.63</v>
      </c>
      <c r="B157" s="55">
        <f t="shared" si="13"/>
        <v>3507.6326</v>
      </c>
      <c r="C157" s="50">
        <f t="shared" si="14"/>
        <v>3595.3234149999994</v>
      </c>
      <c r="D157" s="56">
        <f t="shared" si="15"/>
        <v>15.080400000000054</v>
      </c>
      <c r="E157" s="50">
        <f t="shared" si="16"/>
        <v>54</v>
      </c>
      <c r="F157" s="50">
        <f t="shared" si="16"/>
        <v>1224</v>
      </c>
      <c r="G157" s="50">
        <f t="shared" si="16"/>
        <v>-85</v>
      </c>
      <c r="H157" s="57">
        <v>-1.526</v>
      </c>
      <c r="I157" s="57">
        <v>0.246</v>
      </c>
      <c r="J157" s="57">
        <v>1.3852</v>
      </c>
      <c r="K157" s="57">
        <v>10.4669</v>
      </c>
      <c r="L157" s="58">
        <v>31.675</v>
      </c>
      <c r="M157" s="95">
        <v>1.83</v>
      </c>
      <c r="N157" s="96">
        <v>0.8083</v>
      </c>
      <c r="O157" s="103"/>
    </row>
    <row r="158" spans="1:15" ht="12.75">
      <c r="A158" s="47">
        <v>2.64</v>
      </c>
      <c r="B158" s="55">
        <f t="shared" si="13"/>
        <v>3522.7184</v>
      </c>
      <c r="C158" s="50">
        <f t="shared" si="14"/>
        <v>3610.78636</v>
      </c>
      <c r="D158" s="56">
        <f t="shared" si="15"/>
        <v>15.091200000000072</v>
      </c>
      <c r="E158" s="50">
        <f t="shared" si="16"/>
        <v>54</v>
      </c>
      <c r="F158" s="50">
        <f t="shared" si="16"/>
        <v>1224</v>
      </c>
      <c r="G158" s="50">
        <f t="shared" si="16"/>
        <v>-85</v>
      </c>
      <c r="H158" s="57">
        <v>-1.548</v>
      </c>
      <c r="I158" s="57">
        <v>0.238</v>
      </c>
      <c r="J158" s="57">
        <v>1.3906</v>
      </c>
      <c r="K158" s="57">
        <v>10.4432</v>
      </c>
      <c r="L158" s="58">
        <v>31.7</v>
      </c>
      <c r="M158" s="95">
        <v>1.84</v>
      </c>
      <c r="N158" s="96">
        <v>0.801</v>
      </c>
      <c r="O158" s="103"/>
    </row>
    <row r="159" spans="1:15" ht="12.75">
      <c r="A159" s="47">
        <v>2.65</v>
      </c>
      <c r="B159" s="55">
        <f t="shared" si="13"/>
        <v>3537.815</v>
      </c>
      <c r="C159" s="50">
        <f t="shared" si="14"/>
        <v>3626.260375</v>
      </c>
      <c r="D159" s="56">
        <f t="shared" si="15"/>
        <v>15.10200000000009</v>
      </c>
      <c r="E159" s="50">
        <f t="shared" si="16"/>
        <v>54</v>
      </c>
      <c r="F159" s="50">
        <f t="shared" si="16"/>
        <v>1224</v>
      </c>
      <c r="G159" s="50">
        <f t="shared" si="16"/>
        <v>-85</v>
      </c>
      <c r="H159" s="57">
        <v>-1.57</v>
      </c>
      <c r="I159" s="57">
        <v>0.23</v>
      </c>
      <c r="J159" s="57">
        <v>1.396</v>
      </c>
      <c r="K159" s="57">
        <v>10.4195</v>
      </c>
      <c r="L159" s="58">
        <v>31.725</v>
      </c>
      <c r="M159" s="95">
        <v>1.85</v>
      </c>
      <c r="N159" s="96">
        <v>0.7938</v>
      </c>
      <c r="O159" s="103"/>
    </row>
    <row r="160" spans="1:15" ht="12.75">
      <c r="A160" s="47">
        <v>2.66</v>
      </c>
      <c r="B160" s="55">
        <f t="shared" si="13"/>
        <v>3552.9224000000004</v>
      </c>
      <c r="C160" s="50">
        <f t="shared" si="14"/>
        <v>3641.74546</v>
      </c>
      <c r="D160" s="56">
        <f t="shared" si="15"/>
        <v>15.11279999999988</v>
      </c>
      <c r="E160" s="50">
        <f t="shared" si="16"/>
        <v>54</v>
      </c>
      <c r="F160" s="50">
        <f t="shared" si="16"/>
        <v>1224</v>
      </c>
      <c r="G160" s="50">
        <f t="shared" si="16"/>
        <v>-85</v>
      </c>
      <c r="H160" s="57">
        <v>-1.592</v>
      </c>
      <c r="I160" s="57">
        <v>0.222</v>
      </c>
      <c r="J160" s="57">
        <v>1.4014</v>
      </c>
      <c r="K160" s="57">
        <v>10.3958</v>
      </c>
      <c r="L160" s="58">
        <v>31.75</v>
      </c>
      <c r="M160" s="95">
        <v>1.86</v>
      </c>
      <c r="N160" s="96">
        <v>0.7865</v>
      </c>
      <c r="O160" s="103"/>
    </row>
    <row r="161" spans="1:15" ht="12.75">
      <c r="A161" s="47">
        <v>2.67</v>
      </c>
      <c r="B161" s="55">
        <f t="shared" si="13"/>
        <v>3568.0406</v>
      </c>
      <c r="C161" s="50">
        <f t="shared" si="14"/>
        <v>3657.2416149999995</v>
      </c>
      <c r="D161" s="56">
        <f t="shared" si="15"/>
        <v>15.123599999999897</v>
      </c>
      <c r="E161" s="50">
        <f t="shared" si="16"/>
        <v>54</v>
      </c>
      <c r="F161" s="50">
        <f t="shared" si="16"/>
        <v>1224</v>
      </c>
      <c r="G161" s="50">
        <f t="shared" si="16"/>
        <v>-85</v>
      </c>
      <c r="H161" s="57">
        <v>-1.614</v>
      </c>
      <c r="I161" s="57">
        <v>0.214</v>
      </c>
      <c r="J161" s="57">
        <v>1.4068</v>
      </c>
      <c r="K161" s="57">
        <v>10.3721</v>
      </c>
      <c r="L161" s="58">
        <v>31.775</v>
      </c>
      <c r="M161" s="95">
        <v>1.87</v>
      </c>
      <c r="N161" s="96">
        <v>0.7793</v>
      </c>
      <c r="O161" s="103"/>
    </row>
    <row r="162" spans="1:15" ht="12.75">
      <c r="A162" s="47">
        <v>2.68</v>
      </c>
      <c r="B162" s="55">
        <f t="shared" si="13"/>
        <v>3583.1696</v>
      </c>
      <c r="C162" s="50">
        <f t="shared" si="14"/>
        <v>3672.7488399999997</v>
      </c>
      <c r="D162" s="56">
        <f t="shared" si="15"/>
        <v>15.134400000000142</v>
      </c>
      <c r="E162" s="50">
        <f t="shared" si="16"/>
        <v>54</v>
      </c>
      <c r="F162" s="50">
        <f t="shared" si="16"/>
        <v>1224</v>
      </c>
      <c r="G162" s="50">
        <f t="shared" si="16"/>
        <v>-85</v>
      </c>
      <c r="H162" s="57">
        <v>-1.636</v>
      </c>
      <c r="I162" s="57">
        <v>0.206</v>
      </c>
      <c r="J162" s="57">
        <v>1.4122</v>
      </c>
      <c r="K162" s="57">
        <v>10.3484</v>
      </c>
      <c r="L162" s="58">
        <v>31.8</v>
      </c>
      <c r="M162" s="95">
        <v>1.88</v>
      </c>
      <c r="N162" s="96">
        <v>0.772</v>
      </c>
      <c r="O162" s="103"/>
    </row>
    <row r="163" spans="1:15" ht="12.75">
      <c r="A163" s="47">
        <v>2.69</v>
      </c>
      <c r="B163" s="55">
        <f t="shared" si="13"/>
        <v>3598.3094</v>
      </c>
      <c r="C163" s="50">
        <f t="shared" si="14"/>
        <v>3688.2671349999996</v>
      </c>
      <c r="D163" s="56">
        <f t="shared" si="15"/>
        <v>15.145199999999932</v>
      </c>
      <c r="E163" s="50">
        <f t="shared" si="16"/>
        <v>54</v>
      </c>
      <c r="F163" s="50">
        <f t="shared" si="16"/>
        <v>1224</v>
      </c>
      <c r="G163" s="50">
        <f t="shared" si="16"/>
        <v>-85</v>
      </c>
      <c r="H163" s="57">
        <v>-1.658</v>
      </c>
      <c r="I163" s="57">
        <v>0.198</v>
      </c>
      <c r="J163" s="57">
        <v>1.4176</v>
      </c>
      <c r="K163" s="57">
        <v>10.3247</v>
      </c>
      <c r="L163" s="58">
        <v>31.825</v>
      </c>
      <c r="M163" s="95">
        <v>1.89</v>
      </c>
      <c r="N163" s="96">
        <v>0.7648</v>
      </c>
      <c r="O163" s="103"/>
    </row>
    <row r="164" spans="1:15" ht="12.75">
      <c r="A164" s="46">
        <v>2.7</v>
      </c>
      <c r="B164" s="51">
        <f t="shared" si="13"/>
        <v>3613.46</v>
      </c>
      <c r="C164" s="52">
        <f t="shared" si="14"/>
        <v>3703.7965</v>
      </c>
      <c r="D164" s="53">
        <f t="shared" si="15"/>
        <v>15.155999999999949</v>
      </c>
      <c r="E164" s="52">
        <f t="shared" si="16"/>
        <v>54</v>
      </c>
      <c r="F164" s="52">
        <f t="shared" si="16"/>
        <v>1224</v>
      </c>
      <c r="G164" s="52">
        <f t="shared" si="16"/>
        <v>-85</v>
      </c>
      <c r="H164" s="52">
        <v>-1.68</v>
      </c>
      <c r="I164" s="52">
        <v>0.19</v>
      </c>
      <c r="J164" s="52">
        <v>1.423</v>
      </c>
      <c r="K164" s="52">
        <v>10.301</v>
      </c>
      <c r="L164" s="54">
        <v>31.85</v>
      </c>
      <c r="M164" s="95">
        <v>1.9</v>
      </c>
      <c r="N164" s="96">
        <v>0.7575</v>
      </c>
      <c r="O164" s="103"/>
    </row>
    <row r="165" spans="1:15" ht="12.75">
      <c r="A165" s="47">
        <v>2.71</v>
      </c>
      <c r="B165" s="55">
        <f t="shared" si="13"/>
        <v>3628.6214</v>
      </c>
      <c r="C165" s="50">
        <f t="shared" si="14"/>
        <v>3719.336935</v>
      </c>
      <c r="D165" s="56">
        <f t="shared" si="15"/>
        <v>15.166800000000194</v>
      </c>
      <c r="E165" s="50">
        <f t="shared" si="16"/>
        <v>54</v>
      </c>
      <c r="F165" s="50">
        <f t="shared" si="16"/>
        <v>1224</v>
      </c>
      <c r="G165" s="50">
        <f t="shared" si="16"/>
        <v>-85</v>
      </c>
      <c r="H165" s="57">
        <v>-1.702</v>
      </c>
      <c r="I165" s="57">
        <v>0.182</v>
      </c>
      <c r="J165" s="57">
        <v>1.4283</v>
      </c>
      <c r="K165" s="57">
        <v>10.2773</v>
      </c>
      <c r="L165" s="58">
        <v>31.8723</v>
      </c>
      <c r="M165" s="95">
        <v>1.91</v>
      </c>
      <c r="N165" s="96">
        <v>0.7503</v>
      </c>
      <c r="O165" s="103"/>
    </row>
    <row r="166" spans="1:15" ht="12.75">
      <c r="A166" s="47">
        <v>2.72</v>
      </c>
      <c r="B166" s="55">
        <f t="shared" si="13"/>
        <v>3643.7936000000004</v>
      </c>
      <c r="C166" s="50">
        <f t="shared" si="14"/>
        <v>3734.88844</v>
      </c>
      <c r="D166" s="56">
        <f t="shared" si="15"/>
        <v>15.177599999999984</v>
      </c>
      <c r="E166" s="50">
        <f t="shared" si="16"/>
        <v>54</v>
      </c>
      <c r="F166" s="50">
        <f t="shared" si="16"/>
        <v>1224</v>
      </c>
      <c r="G166" s="50">
        <f t="shared" si="16"/>
        <v>-85</v>
      </c>
      <c r="H166" s="57">
        <v>-1.724</v>
      </c>
      <c r="I166" s="57">
        <v>0.174</v>
      </c>
      <c r="J166" s="57">
        <v>1.4336</v>
      </c>
      <c r="K166" s="57">
        <v>10.2536</v>
      </c>
      <c r="L166" s="58">
        <v>31.8946</v>
      </c>
      <c r="M166" s="95">
        <v>1.92</v>
      </c>
      <c r="N166" s="96">
        <v>0.743</v>
      </c>
      <c r="O166" s="103"/>
    </row>
    <row r="167" spans="1:15" ht="12.75">
      <c r="A167" s="47">
        <v>2.73</v>
      </c>
      <c r="B167" s="55">
        <f t="shared" si="13"/>
        <v>3658.9766</v>
      </c>
      <c r="C167" s="50">
        <f t="shared" si="14"/>
        <v>3750.4510149999996</v>
      </c>
      <c r="D167" s="56">
        <f t="shared" si="15"/>
        <v>15.188400000000001</v>
      </c>
      <c r="E167" s="50">
        <f t="shared" si="16"/>
        <v>54</v>
      </c>
      <c r="F167" s="50">
        <f t="shared" si="16"/>
        <v>1224</v>
      </c>
      <c r="G167" s="50">
        <f t="shared" si="16"/>
        <v>-85</v>
      </c>
      <c r="H167" s="57">
        <v>-1.746</v>
      </c>
      <c r="I167" s="57">
        <v>0.166</v>
      </c>
      <c r="J167" s="57">
        <v>1.4389</v>
      </c>
      <c r="K167" s="57">
        <v>10.2299</v>
      </c>
      <c r="L167" s="58">
        <v>31.9169</v>
      </c>
      <c r="M167" s="95">
        <v>1.93</v>
      </c>
      <c r="N167" s="96">
        <v>0.7358</v>
      </c>
      <c r="O167" s="103"/>
    </row>
    <row r="168" spans="1:15" ht="12.75">
      <c r="A168" s="47">
        <v>2.74</v>
      </c>
      <c r="B168" s="55">
        <f t="shared" si="13"/>
        <v>3674.1704000000004</v>
      </c>
      <c r="C168" s="50">
        <f t="shared" si="14"/>
        <v>3766.02466</v>
      </c>
      <c r="D168" s="56">
        <f t="shared" si="15"/>
        <v>15.199200000000019</v>
      </c>
      <c r="E168" s="50">
        <f t="shared" si="16"/>
        <v>54</v>
      </c>
      <c r="F168" s="50">
        <f t="shared" si="16"/>
        <v>1224</v>
      </c>
      <c r="G168" s="50">
        <f t="shared" si="16"/>
        <v>-85</v>
      </c>
      <c r="H168" s="57">
        <v>-1.768</v>
      </c>
      <c r="I168" s="57">
        <v>0.158</v>
      </c>
      <c r="J168" s="57">
        <v>1.4442</v>
      </c>
      <c r="K168" s="57">
        <v>10.2062</v>
      </c>
      <c r="L168" s="58">
        <v>31.9392</v>
      </c>
      <c r="M168" s="95">
        <v>1.94</v>
      </c>
      <c r="N168" s="96">
        <v>0.7285</v>
      </c>
      <c r="O168" s="103"/>
    </row>
    <row r="169" spans="1:15" ht="12.75">
      <c r="A169" s="47">
        <v>2.75</v>
      </c>
      <c r="B169" s="55">
        <f t="shared" si="13"/>
        <v>3689.375</v>
      </c>
      <c r="C169" s="50">
        <f t="shared" si="14"/>
        <v>3781.6093749999995</v>
      </c>
      <c r="D169" s="56">
        <f t="shared" si="15"/>
        <v>15.209999999999582</v>
      </c>
      <c r="E169" s="50">
        <f t="shared" si="16"/>
        <v>54</v>
      </c>
      <c r="F169" s="50">
        <f t="shared" si="16"/>
        <v>1224</v>
      </c>
      <c r="G169" s="50">
        <f t="shared" si="16"/>
        <v>-85</v>
      </c>
      <c r="H169" s="57">
        <v>-1.79</v>
      </c>
      <c r="I169" s="57">
        <v>0.15</v>
      </c>
      <c r="J169" s="57">
        <v>1.4495</v>
      </c>
      <c r="K169" s="57">
        <v>10.1825</v>
      </c>
      <c r="L169" s="58">
        <v>31.9615</v>
      </c>
      <c r="M169" s="95">
        <v>1.95</v>
      </c>
      <c r="N169" s="96">
        <v>0.7213</v>
      </c>
      <c r="O169" s="103"/>
    </row>
    <row r="170" spans="1:15" ht="12.75">
      <c r="A170" s="47">
        <v>2.76</v>
      </c>
      <c r="B170" s="55">
        <f t="shared" si="13"/>
        <v>3704.5903999999996</v>
      </c>
      <c r="C170" s="50">
        <f t="shared" si="14"/>
        <v>3797.205159999999</v>
      </c>
      <c r="D170" s="56">
        <f t="shared" si="15"/>
        <v>15.220800000000054</v>
      </c>
      <c r="E170" s="50">
        <f t="shared" si="16"/>
        <v>54</v>
      </c>
      <c r="F170" s="50">
        <f t="shared" si="16"/>
        <v>1224</v>
      </c>
      <c r="G170" s="50">
        <f t="shared" si="16"/>
        <v>-85</v>
      </c>
      <c r="H170" s="57">
        <v>-1.812</v>
      </c>
      <c r="I170" s="57">
        <v>0.142</v>
      </c>
      <c r="J170" s="57">
        <v>1.4548</v>
      </c>
      <c r="K170" s="57">
        <v>10.1588</v>
      </c>
      <c r="L170" s="58">
        <v>31.9838</v>
      </c>
      <c r="M170" s="95">
        <v>1.96</v>
      </c>
      <c r="N170" s="96">
        <v>0.714</v>
      </c>
      <c r="O170" s="103"/>
    </row>
    <row r="171" spans="1:15" ht="12.75">
      <c r="A171" s="47">
        <v>2.77</v>
      </c>
      <c r="B171" s="55">
        <f t="shared" si="13"/>
        <v>3719.8166</v>
      </c>
      <c r="C171" s="50">
        <f t="shared" si="14"/>
        <v>3812.812015</v>
      </c>
      <c r="D171" s="56">
        <f t="shared" si="15"/>
        <v>15.231600000000071</v>
      </c>
      <c r="E171" s="50">
        <f t="shared" si="16"/>
        <v>54</v>
      </c>
      <c r="F171" s="50">
        <f t="shared" si="16"/>
        <v>1224</v>
      </c>
      <c r="G171" s="50">
        <f t="shared" si="16"/>
        <v>-85</v>
      </c>
      <c r="H171" s="57">
        <v>-1.834</v>
      </c>
      <c r="I171" s="57">
        <v>0.134</v>
      </c>
      <c r="J171" s="57">
        <v>1.4601</v>
      </c>
      <c r="K171" s="57">
        <v>10.1351</v>
      </c>
      <c r="L171" s="58">
        <v>32.0061</v>
      </c>
      <c r="M171" s="95">
        <v>1.97</v>
      </c>
      <c r="N171" s="96">
        <v>0.7068</v>
      </c>
      <c r="O171" s="103"/>
    </row>
    <row r="172" spans="1:15" ht="12.75">
      <c r="A172" s="47">
        <v>2.78</v>
      </c>
      <c r="B172" s="55">
        <f t="shared" si="13"/>
        <v>3735.0535999999997</v>
      </c>
      <c r="C172" s="50">
        <f t="shared" si="14"/>
        <v>3828.4299399999995</v>
      </c>
      <c r="D172" s="56">
        <f t="shared" si="15"/>
        <v>15.242400000000089</v>
      </c>
      <c r="E172" s="50">
        <f t="shared" si="16"/>
        <v>54</v>
      </c>
      <c r="F172" s="50">
        <f t="shared" si="16"/>
        <v>1224</v>
      </c>
      <c r="G172" s="50">
        <f t="shared" si="16"/>
        <v>-85</v>
      </c>
      <c r="H172" s="57">
        <v>-1.856</v>
      </c>
      <c r="I172" s="57">
        <v>0.126</v>
      </c>
      <c r="J172" s="57">
        <v>1.4654</v>
      </c>
      <c r="K172" s="57">
        <v>10.1114</v>
      </c>
      <c r="L172" s="58">
        <v>32.0284</v>
      </c>
      <c r="M172" s="95">
        <v>1.98</v>
      </c>
      <c r="N172" s="96">
        <v>0.6995</v>
      </c>
      <c r="O172" s="103"/>
    </row>
    <row r="173" spans="1:15" ht="12.75">
      <c r="A173" s="47">
        <v>2.79</v>
      </c>
      <c r="B173" s="55">
        <f t="shared" si="13"/>
        <v>3750.3014000000003</v>
      </c>
      <c r="C173" s="50">
        <f t="shared" si="14"/>
        <v>3844.058935</v>
      </c>
      <c r="D173" s="56">
        <f t="shared" si="15"/>
        <v>15.253200000000106</v>
      </c>
      <c r="E173" s="50">
        <f t="shared" si="16"/>
        <v>54</v>
      </c>
      <c r="F173" s="50">
        <f t="shared" si="16"/>
        <v>1224</v>
      </c>
      <c r="G173" s="50">
        <f t="shared" si="16"/>
        <v>-85</v>
      </c>
      <c r="H173" s="57">
        <v>-1.878</v>
      </c>
      <c r="I173" s="57">
        <v>0.118</v>
      </c>
      <c r="J173" s="57">
        <v>1.4707</v>
      </c>
      <c r="K173" s="57">
        <v>10.0877</v>
      </c>
      <c r="L173" s="58">
        <v>32.0507</v>
      </c>
      <c r="M173" s="95">
        <v>1.99</v>
      </c>
      <c r="N173" s="96">
        <v>0.6923</v>
      </c>
      <c r="O173" s="103"/>
    </row>
    <row r="174" spans="1:15" ht="12.75">
      <c r="A174" s="46">
        <v>2.8</v>
      </c>
      <c r="B174" s="51">
        <f t="shared" si="13"/>
        <v>3765.56</v>
      </c>
      <c r="C174" s="52">
        <f t="shared" si="14"/>
        <v>3859.6989999999996</v>
      </c>
      <c r="D174" s="53">
        <f t="shared" si="15"/>
        <v>15.263999999999896</v>
      </c>
      <c r="E174" s="52">
        <f t="shared" si="16"/>
        <v>54</v>
      </c>
      <c r="F174" s="52">
        <f t="shared" si="16"/>
        <v>1224</v>
      </c>
      <c r="G174" s="52">
        <f t="shared" si="16"/>
        <v>-85</v>
      </c>
      <c r="H174" s="52">
        <v>-1.9</v>
      </c>
      <c r="I174" s="52">
        <v>0.11</v>
      </c>
      <c r="J174" s="52">
        <v>1.476</v>
      </c>
      <c r="K174" s="52">
        <v>10.064</v>
      </c>
      <c r="L174" s="54">
        <v>32.073</v>
      </c>
      <c r="M174" s="95">
        <v>2</v>
      </c>
      <c r="N174" s="96">
        <v>0.685</v>
      </c>
      <c r="O174" s="103"/>
    </row>
    <row r="175" spans="1:15" ht="12.75">
      <c r="A175" s="47">
        <v>2.81</v>
      </c>
      <c r="B175" s="55">
        <f t="shared" si="13"/>
        <v>3780.8294</v>
      </c>
      <c r="C175" s="50">
        <f t="shared" si="14"/>
        <v>3875.3501349999997</v>
      </c>
      <c r="D175" s="56">
        <f t="shared" si="15"/>
        <v>15.274799999999914</v>
      </c>
      <c r="E175" s="50">
        <f t="shared" si="16"/>
        <v>54</v>
      </c>
      <c r="F175" s="50">
        <f t="shared" si="16"/>
        <v>1224</v>
      </c>
      <c r="G175" s="50">
        <f t="shared" si="16"/>
        <v>-85</v>
      </c>
      <c r="H175" s="57">
        <v>-1.9145</v>
      </c>
      <c r="I175" s="57">
        <v>0.102</v>
      </c>
      <c r="J175" s="57">
        <v>1.4814</v>
      </c>
      <c r="K175" s="57">
        <v>10.0409</v>
      </c>
      <c r="L175" s="58">
        <v>32.0912</v>
      </c>
      <c r="M175" s="95">
        <v>2.01</v>
      </c>
      <c r="N175" s="96">
        <v>0.6773</v>
      </c>
      <c r="O175" s="103"/>
    </row>
    <row r="176" spans="1:15" ht="12.75">
      <c r="A176" s="47">
        <v>2.82</v>
      </c>
      <c r="B176" s="55">
        <f t="shared" si="13"/>
        <v>3796.1096</v>
      </c>
      <c r="C176" s="50">
        <f t="shared" si="14"/>
        <v>3891.0123399999993</v>
      </c>
      <c r="D176" s="56">
        <f t="shared" si="15"/>
        <v>15.285599999999931</v>
      </c>
      <c r="E176" s="50">
        <f t="shared" si="16"/>
        <v>54</v>
      </c>
      <c r="F176" s="50">
        <f t="shared" si="16"/>
        <v>1224</v>
      </c>
      <c r="G176" s="50">
        <f t="shared" si="16"/>
        <v>-85</v>
      </c>
      <c r="H176" s="57">
        <v>-1.929</v>
      </c>
      <c r="I176" s="57">
        <v>0.094</v>
      </c>
      <c r="J176" s="57">
        <v>1.4868</v>
      </c>
      <c r="K176" s="57">
        <v>10.0178</v>
      </c>
      <c r="L176" s="58">
        <v>32.1094</v>
      </c>
      <c r="M176" s="95">
        <v>2.02</v>
      </c>
      <c r="N176" s="96">
        <v>0.6695</v>
      </c>
      <c r="O176" s="103"/>
    </row>
    <row r="177" spans="1:15" ht="12.75">
      <c r="A177" s="47">
        <v>2.83</v>
      </c>
      <c r="B177" s="55">
        <f t="shared" si="13"/>
        <v>3811.4006</v>
      </c>
      <c r="C177" s="50">
        <f t="shared" si="14"/>
        <v>3906.6856149999994</v>
      </c>
      <c r="D177" s="56">
        <f t="shared" si="15"/>
        <v>15.296399999999949</v>
      </c>
      <c r="E177" s="50">
        <f t="shared" si="16"/>
        <v>54</v>
      </c>
      <c r="F177" s="50">
        <f t="shared" si="16"/>
        <v>1224</v>
      </c>
      <c r="G177" s="50">
        <f t="shared" si="16"/>
        <v>-85</v>
      </c>
      <c r="H177" s="57">
        <v>-1.9435</v>
      </c>
      <c r="I177" s="57">
        <v>0.086</v>
      </c>
      <c r="J177" s="57">
        <v>1.4922</v>
      </c>
      <c r="K177" s="57">
        <v>9.9947</v>
      </c>
      <c r="L177" s="58">
        <v>32.1276</v>
      </c>
      <c r="M177" s="95">
        <v>2.03</v>
      </c>
      <c r="N177" s="96">
        <v>0.6618</v>
      </c>
      <c r="O177" s="103"/>
    </row>
    <row r="178" spans="1:15" ht="12.75">
      <c r="A178" s="47">
        <v>2.84</v>
      </c>
      <c r="B178" s="55">
        <f t="shared" si="13"/>
        <v>3826.7023999999997</v>
      </c>
      <c r="C178" s="50">
        <f t="shared" si="14"/>
        <v>3922.3699599999995</v>
      </c>
      <c r="D178" s="56">
        <f t="shared" si="15"/>
        <v>15.307200000000194</v>
      </c>
      <c r="E178" s="50">
        <f t="shared" si="16"/>
        <v>54</v>
      </c>
      <c r="F178" s="50">
        <f t="shared" si="16"/>
        <v>1224</v>
      </c>
      <c r="G178" s="50">
        <f t="shared" si="16"/>
        <v>-85</v>
      </c>
      <c r="H178" s="57">
        <v>-1.958</v>
      </c>
      <c r="I178" s="57">
        <v>0.078</v>
      </c>
      <c r="J178" s="57">
        <v>1.4976</v>
      </c>
      <c r="K178" s="57">
        <v>9.9716</v>
      </c>
      <c r="L178" s="58">
        <v>32.1458</v>
      </c>
      <c r="M178" s="95">
        <v>2.04</v>
      </c>
      <c r="N178" s="96">
        <v>0.654</v>
      </c>
      <c r="O178" s="103"/>
    </row>
    <row r="179" spans="1:15" ht="12.75">
      <c r="A179" s="47">
        <v>2.85</v>
      </c>
      <c r="B179" s="55">
        <f t="shared" si="13"/>
        <v>3842.0150000000003</v>
      </c>
      <c r="C179" s="50">
        <f t="shared" si="14"/>
        <v>3938.065375</v>
      </c>
      <c r="D179" s="56">
        <f t="shared" si="15"/>
        <v>15.317999999999984</v>
      </c>
      <c r="E179" s="50">
        <f t="shared" si="16"/>
        <v>54</v>
      </c>
      <c r="F179" s="50">
        <f t="shared" si="16"/>
        <v>1224</v>
      </c>
      <c r="G179" s="50">
        <f t="shared" si="16"/>
        <v>-85</v>
      </c>
      <c r="H179" s="57">
        <v>-1.9725</v>
      </c>
      <c r="I179" s="57">
        <v>0.07</v>
      </c>
      <c r="J179" s="57">
        <v>1.503</v>
      </c>
      <c r="K179" s="57">
        <v>9.9485</v>
      </c>
      <c r="L179" s="58">
        <v>32.164</v>
      </c>
      <c r="M179" s="95">
        <v>2.05</v>
      </c>
      <c r="N179" s="96">
        <v>0.6463</v>
      </c>
      <c r="O179" s="103"/>
    </row>
    <row r="180" spans="1:15" ht="12.75">
      <c r="A180" s="47">
        <v>2.86</v>
      </c>
      <c r="B180" s="55">
        <f t="shared" si="13"/>
        <v>3857.3383999999996</v>
      </c>
      <c r="C180" s="50">
        <f t="shared" si="14"/>
        <v>3953.7718599999994</v>
      </c>
      <c r="D180" s="56">
        <f t="shared" si="15"/>
        <v>15.328799999999774</v>
      </c>
      <c r="E180" s="50">
        <f t="shared" si="16"/>
        <v>54</v>
      </c>
      <c r="F180" s="50">
        <f t="shared" si="16"/>
        <v>1224</v>
      </c>
      <c r="G180" s="50">
        <f t="shared" si="16"/>
        <v>-85</v>
      </c>
      <c r="H180" s="57">
        <v>-1.987</v>
      </c>
      <c r="I180" s="57">
        <v>0.062</v>
      </c>
      <c r="J180" s="57">
        <v>1.5084</v>
      </c>
      <c r="K180" s="57">
        <v>9.9254</v>
      </c>
      <c r="L180" s="58">
        <v>32.1822</v>
      </c>
      <c r="M180" s="95">
        <v>2.06</v>
      </c>
      <c r="N180" s="96">
        <v>0.6385</v>
      </c>
      <c r="O180" s="103"/>
    </row>
    <row r="181" spans="1:15" ht="12.75">
      <c r="A181" s="47">
        <v>2.87</v>
      </c>
      <c r="B181" s="55">
        <f t="shared" si="13"/>
        <v>3872.6726</v>
      </c>
      <c r="C181" s="50">
        <f t="shared" si="14"/>
        <v>3969.4894149999996</v>
      </c>
      <c r="D181" s="56">
        <f t="shared" si="15"/>
        <v>15.339600000000019</v>
      </c>
      <c r="E181" s="50">
        <f t="shared" si="16"/>
        <v>54</v>
      </c>
      <c r="F181" s="50">
        <f t="shared" si="16"/>
        <v>1224</v>
      </c>
      <c r="G181" s="50">
        <f t="shared" si="16"/>
        <v>-85</v>
      </c>
      <c r="H181" s="57">
        <v>-2.0015</v>
      </c>
      <c r="I181" s="57">
        <v>0.054</v>
      </c>
      <c r="J181" s="57">
        <v>1.5138</v>
      </c>
      <c r="K181" s="57">
        <v>9.9023</v>
      </c>
      <c r="L181" s="58">
        <v>32.2004</v>
      </c>
      <c r="M181" s="95">
        <v>2.07</v>
      </c>
      <c r="N181" s="96">
        <v>0.6308</v>
      </c>
      <c r="O181" s="103"/>
    </row>
    <row r="182" spans="1:15" ht="12.75">
      <c r="A182" s="47">
        <v>2.88</v>
      </c>
      <c r="B182" s="55">
        <f t="shared" si="13"/>
        <v>3888.0175999999997</v>
      </c>
      <c r="C182" s="50">
        <f t="shared" si="14"/>
        <v>3985.2180399999993</v>
      </c>
      <c r="D182" s="56">
        <f t="shared" si="15"/>
        <v>15.350400000000036</v>
      </c>
      <c r="E182" s="50">
        <f t="shared" si="16"/>
        <v>54</v>
      </c>
      <c r="F182" s="50">
        <f t="shared" si="16"/>
        <v>1224</v>
      </c>
      <c r="G182" s="50">
        <f t="shared" si="16"/>
        <v>-85</v>
      </c>
      <c r="H182" s="57">
        <v>-2.016</v>
      </c>
      <c r="I182" s="57">
        <v>0.046</v>
      </c>
      <c r="J182" s="57">
        <v>1.5192</v>
      </c>
      <c r="K182" s="57">
        <v>9.8792</v>
      </c>
      <c r="L182" s="58">
        <v>32.2186</v>
      </c>
      <c r="M182" s="95">
        <v>2.08</v>
      </c>
      <c r="N182" s="96">
        <v>0.623</v>
      </c>
      <c r="O182" s="103"/>
    </row>
    <row r="183" spans="1:15" ht="12.75">
      <c r="A183" s="47">
        <v>2.89</v>
      </c>
      <c r="B183" s="55">
        <f t="shared" si="13"/>
        <v>3903.3734</v>
      </c>
      <c r="C183" s="50">
        <f t="shared" si="14"/>
        <v>4000.9577349999995</v>
      </c>
      <c r="D183" s="56">
        <f t="shared" si="15"/>
        <v>15.361200000000053</v>
      </c>
      <c r="E183" s="50">
        <f t="shared" si="16"/>
        <v>54</v>
      </c>
      <c r="F183" s="50">
        <f t="shared" si="16"/>
        <v>1224</v>
      </c>
      <c r="G183" s="50">
        <f t="shared" si="16"/>
        <v>-85</v>
      </c>
      <c r="H183" s="57">
        <v>-2.0305</v>
      </c>
      <c r="I183" s="57">
        <v>0.038</v>
      </c>
      <c r="J183" s="57">
        <v>1.5246</v>
      </c>
      <c r="K183" s="57">
        <v>9.8561</v>
      </c>
      <c r="L183" s="58">
        <v>32.2368</v>
      </c>
      <c r="M183" s="95">
        <v>2.09</v>
      </c>
      <c r="N183" s="96">
        <v>0.6153</v>
      </c>
      <c r="O183" s="103"/>
    </row>
    <row r="184" spans="1:15" ht="12.75">
      <c r="A184" s="46">
        <v>2.9</v>
      </c>
      <c r="B184" s="51">
        <f t="shared" si="13"/>
        <v>3918.74</v>
      </c>
      <c r="C184" s="52">
        <f t="shared" si="14"/>
        <v>4016.7084999999993</v>
      </c>
      <c r="D184" s="53">
        <f t="shared" si="15"/>
        <v>15.372000000000071</v>
      </c>
      <c r="E184" s="52">
        <f t="shared" si="16"/>
        <v>54</v>
      </c>
      <c r="F184" s="52">
        <f t="shared" si="16"/>
        <v>1224</v>
      </c>
      <c r="G184" s="52">
        <f t="shared" si="16"/>
        <v>-85</v>
      </c>
      <c r="H184" s="52">
        <v>-2.045</v>
      </c>
      <c r="I184" s="52">
        <v>0.03</v>
      </c>
      <c r="J184" s="52">
        <v>1.53</v>
      </c>
      <c r="K184" s="52">
        <v>9.833</v>
      </c>
      <c r="L184" s="54">
        <v>32.255</v>
      </c>
      <c r="M184" s="95">
        <v>2.1</v>
      </c>
      <c r="N184" s="96">
        <v>0.6075</v>
      </c>
      <c r="O184" s="103"/>
    </row>
    <row r="185" spans="1:15" ht="12.75">
      <c r="A185" s="47">
        <v>2.91</v>
      </c>
      <c r="B185" s="55">
        <f t="shared" si="13"/>
        <v>3934.1174</v>
      </c>
      <c r="C185" s="50">
        <f t="shared" si="14"/>
        <v>4032.4703349999995</v>
      </c>
      <c r="D185" s="56">
        <f t="shared" si="15"/>
        <v>15.382800000000088</v>
      </c>
      <c r="E185" s="50">
        <f t="shared" si="16"/>
        <v>54</v>
      </c>
      <c r="F185" s="50">
        <f t="shared" si="16"/>
        <v>1224</v>
      </c>
      <c r="G185" s="50">
        <f t="shared" si="16"/>
        <v>-85</v>
      </c>
      <c r="H185" s="57">
        <v>-2.0595</v>
      </c>
      <c r="I185" s="57">
        <v>0.022</v>
      </c>
      <c r="J185" s="57">
        <v>1.5353</v>
      </c>
      <c r="K185" s="57">
        <v>9.8098</v>
      </c>
      <c r="L185" s="58">
        <v>32.2713</v>
      </c>
      <c r="M185" s="95">
        <v>2.11</v>
      </c>
      <c r="N185" s="96">
        <v>0.5998</v>
      </c>
      <c r="O185" s="103"/>
    </row>
    <row r="186" spans="1:15" ht="12.75">
      <c r="A186" s="47">
        <v>2.92</v>
      </c>
      <c r="B186" s="55">
        <f t="shared" si="13"/>
        <v>3949.5056</v>
      </c>
      <c r="C186" s="50">
        <f t="shared" si="14"/>
        <v>4048.24324</v>
      </c>
      <c r="D186" s="56">
        <f t="shared" si="15"/>
        <v>15.393600000000106</v>
      </c>
      <c r="E186" s="50">
        <f t="shared" si="16"/>
        <v>54</v>
      </c>
      <c r="F186" s="50">
        <f t="shared" si="16"/>
        <v>1224</v>
      </c>
      <c r="G186" s="50">
        <f t="shared" si="16"/>
        <v>-85</v>
      </c>
      <c r="H186" s="57">
        <v>-2.074</v>
      </c>
      <c r="I186" s="57">
        <v>0.014</v>
      </c>
      <c r="J186" s="57">
        <v>1.5406</v>
      </c>
      <c r="K186" s="57">
        <v>9.7866</v>
      </c>
      <c r="L186" s="58">
        <v>32.2876</v>
      </c>
      <c r="M186" s="95">
        <v>2.12</v>
      </c>
      <c r="N186" s="96">
        <v>0.592</v>
      </c>
      <c r="O186" s="103"/>
    </row>
    <row r="187" spans="1:15" ht="12.75">
      <c r="A187" s="47">
        <v>2.93</v>
      </c>
      <c r="B187" s="55">
        <f t="shared" si="13"/>
        <v>3964.9046000000003</v>
      </c>
      <c r="C187" s="50">
        <f t="shared" si="14"/>
        <v>4064.027215</v>
      </c>
      <c r="D187" s="56">
        <f t="shared" si="15"/>
        <v>15.404399999999896</v>
      </c>
      <c r="E187" s="50">
        <f t="shared" si="16"/>
        <v>54</v>
      </c>
      <c r="F187" s="50">
        <f t="shared" si="16"/>
        <v>1224</v>
      </c>
      <c r="G187" s="50">
        <f t="shared" si="16"/>
        <v>-85</v>
      </c>
      <c r="H187" s="57">
        <v>-2.0885</v>
      </c>
      <c r="I187" s="57">
        <v>0.006</v>
      </c>
      <c r="J187" s="57">
        <v>1.5459</v>
      </c>
      <c r="K187" s="57">
        <v>9.7634</v>
      </c>
      <c r="L187" s="58">
        <v>32.3039</v>
      </c>
      <c r="M187" s="95">
        <v>2.13</v>
      </c>
      <c r="N187" s="96">
        <v>0.5843</v>
      </c>
      <c r="O187" s="103"/>
    </row>
    <row r="188" spans="1:15" ht="12.75">
      <c r="A188" s="47">
        <v>2.94</v>
      </c>
      <c r="B188" s="55">
        <f t="shared" si="13"/>
        <v>3980.3143999999998</v>
      </c>
      <c r="C188" s="50">
        <f t="shared" si="14"/>
        <v>4079.8222599999995</v>
      </c>
      <c r="D188" s="56">
        <f t="shared" si="15"/>
        <v>15.415199999999913</v>
      </c>
      <c r="E188" s="50">
        <f t="shared" si="16"/>
        <v>54</v>
      </c>
      <c r="F188" s="50">
        <f t="shared" si="16"/>
        <v>1224</v>
      </c>
      <c r="G188" s="50">
        <f t="shared" si="16"/>
        <v>-85</v>
      </c>
      <c r="H188" s="57">
        <v>-2.103</v>
      </c>
      <c r="I188" s="57">
        <v>-0.002</v>
      </c>
      <c r="J188" s="57">
        <v>1.5512</v>
      </c>
      <c r="K188" s="57">
        <v>9.7402</v>
      </c>
      <c r="L188" s="58">
        <v>32.3202</v>
      </c>
      <c r="M188" s="95">
        <v>2.14</v>
      </c>
      <c r="N188" s="96">
        <v>0.5765</v>
      </c>
      <c r="O188" s="103"/>
    </row>
    <row r="189" spans="1:15" ht="12.75">
      <c r="A189" s="47">
        <v>2.95</v>
      </c>
      <c r="B189" s="55">
        <f t="shared" si="13"/>
        <v>3995.735</v>
      </c>
      <c r="C189" s="50">
        <f t="shared" si="14"/>
        <v>4095.628375</v>
      </c>
      <c r="D189" s="56">
        <f t="shared" si="15"/>
        <v>15.426000000000158</v>
      </c>
      <c r="E189" s="50">
        <f t="shared" si="16"/>
        <v>54</v>
      </c>
      <c r="F189" s="50">
        <f t="shared" si="16"/>
        <v>1224</v>
      </c>
      <c r="G189" s="50">
        <f t="shared" si="16"/>
        <v>-85</v>
      </c>
      <c r="H189" s="57">
        <v>-2.1175</v>
      </c>
      <c r="I189" s="57">
        <v>-0.01</v>
      </c>
      <c r="J189" s="57">
        <v>1.5565</v>
      </c>
      <c r="K189" s="57">
        <v>9.717</v>
      </c>
      <c r="L189" s="58">
        <v>32.3365</v>
      </c>
      <c r="M189" s="95">
        <v>2.15</v>
      </c>
      <c r="N189" s="96">
        <v>0.5688</v>
      </c>
      <c r="O189" s="103"/>
    </row>
    <row r="190" spans="1:15" ht="12.75">
      <c r="A190" s="47">
        <v>2.96</v>
      </c>
      <c r="B190" s="55">
        <f t="shared" si="13"/>
        <v>4011.1664</v>
      </c>
      <c r="C190" s="50">
        <f t="shared" si="14"/>
        <v>4111.44556</v>
      </c>
      <c r="D190" s="56">
        <f t="shared" si="15"/>
        <v>15.436800000000176</v>
      </c>
      <c r="E190" s="50">
        <f t="shared" si="16"/>
        <v>54</v>
      </c>
      <c r="F190" s="50">
        <f t="shared" si="16"/>
        <v>1224</v>
      </c>
      <c r="G190" s="50">
        <f t="shared" si="16"/>
        <v>-85</v>
      </c>
      <c r="H190" s="57">
        <v>-2.132</v>
      </c>
      <c r="I190" s="57">
        <v>-0.018</v>
      </c>
      <c r="J190" s="57">
        <v>1.5618</v>
      </c>
      <c r="K190" s="57">
        <v>9.6938</v>
      </c>
      <c r="L190" s="58">
        <v>32.3528</v>
      </c>
      <c r="M190" s="95">
        <v>2.16</v>
      </c>
      <c r="N190" s="96">
        <v>0.561</v>
      </c>
      <c r="O190" s="103"/>
    </row>
    <row r="191" spans="1:15" ht="12.75">
      <c r="A191" s="47">
        <v>2.97</v>
      </c>
      <c r="B191" s="55">
        <f t="shared" si="13"/>
        <v>4026.6086000000005</v>
      </c>
      <c r="C191" s="50">
        <f t="shared" si="14"/>
        <v>4127.2738150000005</v>
      </c>
      <c r="D191" s="56">
        <f t="shared" si="15"/>
        <v>15.447599999999966</v>
      </c>
      <c r="E191" s="50">
        <f t="shared" si="16"/>
        <v>54</v>
      </c>
      <c r="F191" s="50">
        <f t="shared" si="16"/>
        <v>1224</v>
      </c>
      <c r="G191" s="50">
        <f t="shared" si="16"/>
        <v>-85</v>
      </c>
      <c r="H191" s="57">
        <v>-2.1465</v>
      </c>
      <c r="I191" s="57">
        <v>-0.026</v>
      </c>
      <c r="J191" s="57">
        <v>1.5671</v>
      </c>
      <c r="K191" s="57">
        <v>9.6706</v>
      </c>
      <c r="L191" s="58">
        <v>32.3691</v>
      </c>
      <c r="M191" s="95">
        <v>2.17</v>
      </c>
      <c r="N191" s="96">
        <v>0.5533</v>
      </c>
      <c r="O191" s="103"/>
    </row>
    <row r="192" spans="1:15" ht="12.75">
      <c r="A192" s="47">
        <v>2.98</v>
      </c>
      <c r="B192" s="55">
        <f t="shared" si="13"/>
        <v>4042.0616</v>
      </c>
      <c r="C192" s="50">
        <f t="shared" si="14"/>
        <v>4143.1131399999995</v>
      </c>
      <c r="D192" s="56">
        <f t="shared" si="15"/>
        <v>15.458399999999983</v>
      </c>
      <c r="E192" s="50">
        <f t="shared" si="16"/>
        <v>54</v>
      </c>
      <c r="F192" s="50">
        <f t="shared" si="16"/>
        <v>1224</v>
      </c>
      <c r="G192" s="50">
        <f t="shared" si="16"/>
        <v>-85</v>
      </c>
      <c r="H192" s="57">
        <v>-2.161</v>
      </c>
      <c r="I192" s="57">
        <v>-0.034</v>
      </c>
      <c r="J192" s="57">
        <v>1.5724</v>
      </c>
      <c r="K192" s="57">
        <v>9.6474</v>
      </c>
      <c r="L192" s="58">
        <v>32.3854</v>
      </c>
      <c r="M192" s="95">
        <v>2.18</v>
      </c>
      <c r="N192" s="96">
        <v>0.5455</v>
      </c>
      <c r="O192" s="103"/>
    </row>
    <row r="193" spans="1:15" ht="12.75">
      <c r="A193" s="47">
        <v>2.99</v>
      </c>
      <c r="B193" s="55">
        <f t="shared" si="13"/>
        <v>4057.5254000000004</v>
      </c>
      <c r="C193" s="50">
        <f t="shared" si="14"/>
        <v>4158.963535</v>
      </c>
      <c r="D193" s="56">
        <f t="shared" si="15"/>
        <v>15.4692</v>
      </c>
      <c r="E193" s="50">
        <f t="shared" si="16"/>
        <v>54</v>
      </c>
      <c r="F193" s="50">
        <f t="shared" si="16"/>
        <v>1224</v>
      </c>
      <c r="G193" s="50">
        <f t="shared" si="16"/>
        <v>-85</v>
      </c>
      <c r="H193" s="57">
        <v>-2.1755</v>
      </c>
      <c r="I193" s="57">
        <v>-0.042</v>
      </c>
      <c r="J193" s="57">
        <v>1.5777</v>
      </c>
      <c r="K193" s="57">
        <v>9.6242</v>
      </c>
      <c r="L193" s="58">
        <v>32.4017</v>
      </c>
      <c r="M193" s="95">
        <v>2.19</v>
      </c>
      <c r="N193" s="96">
        <v>0.5378</v>
      </c>
      <c r="O193" s="103"/>
    </row>
    <row r="194" spans="1:15" ht="12.75">
      <c r="A194" s="46">
        <v>3</v>
      </c>
      <c r="B194" s="51">
        <f t="shared" si="13"/>
        <v>4073</v>
      </c>
      <c r="C194" s="52">
        <f t="shared" si="14"/>
        <v>4174.825</v>
      </c>
      <c r="D194" s="53">
        <f t="shared" si="15"/>
        <v>15.477899999999408</v>
      </c>
      <c r="E194" s="52">
        <v>12</v>
      </c>
      <c r="F194" s="52">
        <v>1476</v>
      </c>
      <c r="G194" s="52">
        <v>-463</v>
      </c>
      <c r="H194" s="52">
        <v>-2.19</v>
      </c>
      <c r="I194" s="52">
        <v>-0.05</v>
      </c>
      <c r="J194" s="52">
        <v>1.583</v>
      </c>
      <c r="K194" s="52">
        <v>9.601</v>
      </c>
      <c r="L194" s="54">
        <v>32.418</v>
      </c>
      <c r="M194" s="95">
        <v>2.2</v>
      </c>
      <c r="N194" s="96">
        <v>0.53</v>
      </c>
      <c r="O194" s="103"/>
    </row>
    <row r="195" spans="1:15" ht="12.75">
      <c r="A195" s="47">
        <v>3.01</v>
      </c>
      <c r="B195" s="55">
        <f t="shared" si="13"/>
        <v>4088.4811999999993</v>
      </c>
      <c r="C195" s="50">
        <f t="shared" si="14"/>
        <v>4190.693229999999</v>
      </c>
      <c r="D195" s="56">
        <f t="shared" si="15"/>
        <v>15.482400000000325</v>
      </c>
      <c r="E195" s="50">
        <f aca="true" t="shared" si="17" ref="E195:G211">E194</f>
        <v>12</v>
      </c>
      <c r="F195" s="50">
        <f t="shared" si="17"/>
        <v>1476</v>
      </c>
      <c r="G195" s="50">
        <f t="shared" si="17"/>
        <v>-463</v>
      </c>
      <c r="H195" s="57">
        <v>-2.193</v>
      </c>
      <c r="I195" s="57">
        <v>-0.058</v>
      </c>
      <c r="J195" s="57">
        <v>1.5884</v>
      </c>
      <c r="K195" s="57">
        <v>9.5802</v>
      </c>
      <c r="L195" s="58">
        <v>32.4271</v>
      </c>
      <c r="M195" s="95">
        <v>2.21</v>
      </c>
      <c r="N195" s="96">
        <v>0.5235</v>
      </c>
      <c r="O195" s="103"/>
    </row>
    <row r="196" spans="1:15" ht="12.75">
      <c r="A196" s="47">
        <v>3.02</v>
      </c>
      <c r="B196" s="55">
        <f aca="true" t="shared" si="18" ref="B196:B259">E196*A196^2+F196*A196+G196</f>
        <v>4103.964800000001</v>
      </c>
      <c r="C196" s="50">
        <f t="shared" si="14"/>
        <v>4206.5639200000005</v>
      </c>
      <c r="D196" s="56">
        <f t="shared" si="15"/>
        <v>15.484800000000178</v>
      </c>
      <c r="E196" s="50">
        <f t="shared" si="17"/>
        <v>12</v>
      </c>
      <c r="F196" s="50">
        <f t="shared" si="17"/>
        <v>1476</v>
      </c>
      <c r="G196" s="50">
        <f t="shared" si="17"/>
        <v>-463</v>
      </c>
      <c r="H196" s="57">
        <v>-2.196</v>
      </c>
      <c r="I196" s="57">
        <v>-0.066</v>
      </c>
      <c r="J196" s="57">
        <v>1.5938</v>
      </c>
      <c r="K196" s="57">
        <v>9.5594</v>
      </c>
      <c r="L196" s="58">
        <v>32.4362</v>
      </c>
      <c r="M196" s="95">
        <v>2.22</v>
      </c>
      <c r="N196" s="96">
        <v>0.517</v>
      </c>
      <c r="O196" s="103"/>
    </row>
    <row r="197" spans="1:15" ht="12.75">
      <c r="A197" s="47">
        <v>3.03</v>
      </c>
      <c r="B197" s="55">
        <f t="shared" si="18"/>
        <v>4119.4508</v>
      </c>
      <c r="C197" s="50">
        <f t="shared" si="14"/>
        <v>4222.437069999999</v>
      </c>
      <c r="D197" s="56">
        <f t="shared" si="15"/>
        <v>15.487199999999575</v>
      </c>
      <c r="E197" s="50">
        <f t="shared" si="17"/>
        <v>12</v>
      </c>
      <c r="F197" s="50">
        <f t="shared" si="17"/>
        <v>1476</v>
      </c>
      <c r="G197" s="50">
        <f t="shared" si="17"/>
        <v>-463</v>
      </c>
      <c r="H197" s="57">
        <v>-2.199</v>
      </c>
      <c r="I197" s="57">
        <v>-0.074</v>
      </c>
      <c r="J197" s="57">
        <v>1.5992</v>
      </c>
      <c r="K197" s="57">
        <v>9.5386</v>
      </c>
      <c r="L197" s="58">
        <v>32.4453</v>
      </c>
      <c r="M197" s="95">
        <v>2.23</v>
      </c>
      <c r="N197" s="96">
        <v>0.5105</v>
      </c>
      <c r="O197" s="103"/>
    </row>
    <row r="198" spans="1:15" ht="12.75">
      <c r="A198" s="47">
        <v>3.04</v>
      </c>
      <c r="B198" s="55">
        <f t="shared" si="18"/>
        <v>4134.9392</v>
      </c>
      <c r="C198" s="50">
        <f aca="true" t="shared" si="19" ref="C198:C261">B198*1.025</f>
        <v>4238.312679999999</v>
      </c>
      <c r="D198" s="56">
        <f aca="true" t="shared" si="20" ref="D198:D261">(B199-B197)/2</f>
        <v>15.489600000000337</v>
      </c>
      <c r="E198" s="50">
        <f t="shared" si="17"/>
        <v>12</v>
      </c>
      <c r="F198" s="50">
        <f t="shared" si="17"/>
        <v>1476</v>
      </c>
      <c r="G198" s="50">
        <f t="shared" si="17"/>
        <v>-463</v>
      </c>
      <c r="H198" s="57">
        <v>-2.202</v>
      </c>
      <c r="I198" s="57">
        <v>-0.082</v>
      </c>
      <c r="J198" s="57">
        <v>1.6046</v>
      </c>
      <c r="K198" s="57">
        <v>9.5178</v>
      </c>
      <c r="L198" s="58">
        <v>32.4544</v>
      </c>
      <c r="M198" s="95">
        <v>2.24</v>
      </c>
      <c r="N198" s="96">
        <v>0.504</v>
      </c>
      <c r="O198" s="103"/>
    </row>
    <row r="199" spans="1:15" ht="12.75">
      <c r="A199" s="47">
        <v>3.05</v>
      </c>
      <c r="B199" s="55">
        <f t="shared" si="18"/>
        <v>4150.43</v>
      </c>
      <c r="C199" s="50">
        <f t="shared" si="19"/>
        <v>4254.19075</v>
      </c>
      <c r="D199" s="56">
        <f t="shared" si="20"/>
        <v>15.49200000000019</v>
      </c>
      <c r="E199" s="50">
        <f t="shared" si="17"/>
        <v>12</v>
      </c>
      <c r="F199" s="50">
        <f t="shared" si="17"/>
        <v>1476</v>
      </c>
      <c r="G199" s="50">
        <f t="shared" si="17"/>
        <v>-463</v>
      </c>
      <c r="H199" s="57">
        <v>-2.205</v>
      </c>
      <c r="I199" s="57">
        <v>-0.09</v>
      </c>
      <c r="J199" s="57">
        <v>1.61</v>
      </c>
      <c r="K199" s="57">
        <v>9.497</v>
      </c>
      <c r="L199" s="58">
        <v>32.4635</v>
      </c>
      <c r="M199" s="95">
        <v>2.25</v>
      </c>
      <c r="N199" s="96">
        <v>0.4975</v>
      </c>
      <c r="O199" s="103"/>
    </row>
    <row r="200" spans="1:15" ht="12.75">
      <c r="A200" s="47">
        <v>3.06</v>
      </c>
      <c r="B200" s="55">
        <f t="shared" si="18"/>
        <v>4165.9232</v>
      </c>
      <c r="C200" s="50">
        <f t="shared" si="19"/>
        <v>4270.07128</v>
      </c>
      <c r="D200" s="56">
        <f t="shared" si="20"/>
        <v>15.494399999999587</v>
      </c>
      <c r="E200" s="50">
        <f t="shared" si="17"/>
        <v>12</v>
      </c>
      <c r="F200" s="50">
        <f t="shared" si="17"/>
        <v>1476</v>
      </c>
      <c r="G200" s="50">
        <f t="shared" si="17"/>
        <v>-463</v>
      </c>
      <c r="H200" s="57">
        <v>-2.208</v>
      </c>
      <c r="I200" s="57">
        <v>-0.098</v>
      </c>
      <c r="J200" s="57">
        <v>1.6154</v>
      </c>
      <c r="K200" s="57">
        <v>9.4762</v>
      </c>
      <c r="L200" s="58">
        <v>32.4726</v>
      </c>
      <c r="M200" s="95">
        <v>2.26</v>
      </c>
      <c r="N200" s="96">
        <v>0.491</v>
      </c>
      <c r="O200" s="103"/>
    </row>
    <row r="201" spans="1:15" ht="12.75">
      <c r="A201" s="47">
        <v>3.07</v>
      </c>
      <c r="B201" s="55">
        <f t="shared" si="18"/>
        <v>4181.4187999999995</v>
      </c>
      <c r="C201" s="50">
        <f t="shared" si="19"/>
        <v>4285.954269999999</v>
      </c>
      <c r="D201" s="56">
        <f t="shared" si="20"/>
        <v>15.496799999999894</v>
      </c>
      <c r="E201" s="50">
        <f t="shared" si="17"/>
        <v>12</v>
      </c>
      <c r="F201" s="50">
        <f t="shared" si="17"/>
        <v>1476</v>
      </c>
      <c r="G201" s="50">
        <f t="shared" si="17"/>
        <v>-463</v>
      </c>
      <c r="H201" s="57">
        <v>-2.211</v>
      </c>
      <c r="I201" s="57">
        <v>-0.106</v>
      </c>
      <c r="J201" s="57">
        <v>1.6208</v>
      </c>
      <c r="K201" s="57">
        <v>9.4554</v>
      </c>
      <c r="L201" s="58">
        <v>32.4817</v>
      </c>
      <c r="M201" s="95">
        <v>2.27</v>
      </c>
      <c r="N201" s="96">
        <v>0.4845</v>
      </c>
      <c r="O201" s="103"/>
    </row>
    <row r="202" spans="1:15" ht="12.75">
      <c r="A202" s="47">
        <v>3.08</v>
      </c>
      <c r="B202" s="55">
        <f t="shared" si="18"/>
        <v>4196.9168</v>
      </c>
      <c r="C202" s="50">
        <f t="shared" si="19"/>
        <v>4301.83972</v>
      </c>
      <c r="D202" s="56">
        <f t="shared" si="20"/>
        <v>15.4992000000002</v>
      </c>
      <c r="E202" s="50">
        <f t="shared" si="17"/>
        <v>12</v>
      </c>
      <c r="F202" s="50">
        <f t="shared" si="17"/>
        <v>1476</v>
      </c>
      <c r="G202" s="50">
        <f t="shared" si="17"/>
        <v>-463</v>
      </c>
      <c r="H202" s="57">
        <v>-2.214</v>
      </c>
      <c r="I202" s="57">
        <v>-0.114</v>
      </c>
      <c r="J202" s="57">
        <v>1.6262</v>
      </c>
      <c r="K202" s="57">
        <v>9.4346</v>
      </c>
      <c r="L202" s="58">
        <v>32.4908</v>
      </c>
      <c r="M202" s="95">
        <v>2.28</v>
      </c>
      <c r="N202" s="96">
        <v>0.478</v>
      </c>
      <c r="O202" s="103"/>
    </row>
    <row r="203" spans="1:15" ht="12.75">
      <c r="A203" s="47">
        <v>3.09</v>
      </c>
      <c r="B203" s="55">
        <f t="shared" si="18"/>
        <v>4212.4172</v>
      </c>
      <c r="C203" s="50">
        <f t="shared" si="19"/>
        <v>4317.727629999999</v>
      </c>
      <c r="D203" s="56">
        <f t="shared" si="20"/>
        <v>15.501600000000053</v>
      </c>
      <c r="E203" s="50">
        <f t="shared" si="17"/>
        <v>12</v>
      </c>
      <c r="F203" s="50">
        <f>F202</f>
        <v>1476</v>
      </c>
      <c r="G203" s="50">
        <f t="shared" si="17"/>
        <v>-463</v>
      </c>
      <c r="H203" s="57">
        <v>-2.217</v>
      </c>
      <c r="I203" s="57">
        <v>-0.122</v>
      </c>
      <c r="J203" s="57">
        <v>1.6316</v>
      </c>
      <c r="K203" s="57">
        <v>9.4138</v>
      </c>
      <c r="L203" s="58">
        <v>32.4999</v>
      </c>
      <c r="M203" s="95">
        <v>2.29</v>
      </c>
      <c r="N203" s="96">
        <v>0.4715</v>
      </c>
      <c r="O203" s="103"/>
    </row>
    <row r="204" spans="1:15" ht="12.75">
      <c r="A204" s="46">
        <v>3.1</v>
      </c>
      <c r="B204" s="51">
        <f t="shared" si="18"/>
        <v>4227.92</v>
      </c>
      <c r="C204" s="52">
        <f t="shared" si="19"/>
        <v>4333.6179999999995</v>
      </c>
      <c r="D204" s="53">
        <f t="shared" si="20"/>
        <v>15.503999999999905</v>
      </c>
      <c r="E204" s="52">
        <f t="shared" si="17"/>
        <v>12</v>
      </c>
      <c r="F204" s="52">
        <f>F203</f>
        <v>1476</v>
      </c>
      <c r="G204" s="52">
        <f>G203</f>
        <v>-463</v>
      </c>
      <c r="H204" s="52">
        <v>-2.22</v>
      </c>
      <c r="I204" s="52">
        <v>-0.13</v>
      </c>
      <c r="J204" s="52">
        <v>1.637</v>
      </c>
      <c r="K204" s="52">
        <v>9.393</v>
      </c>
      <c r="L204" s="54">
        <v>32.509</v>
      </c>
      <c r="M204" s="95">
        <v>2.3</v>
      </c>
      <c r="N204" s="96">
        <v>0.465</v>
      </c>
      <c r="O204" s="103"/>
    </row>
    <row r="205" spans="1:15" ht="12.75">
      <c r="A205" s="47">
        <v>3.11</v>
      </c>
      <c r="B205" s="55">
        <f t="shared" si="18"/>
        <v>4243.4252</v>
      </c>
      <c r="C205" s="50">
        <f t="shared" si="19"/>
        <v>4349.510829999999</v>
      </c>
      <c r="D205" s="56">
        <f t="shared" si="20"/>
        <v>15.506399999999758</v>
      </c>
      <c r="E205" s="50">
        <f t="shared" si="17"/>
        <v>12</v>
      </c>
      <c r="F205" s="50">
        <f t="shared" si="17"/>
        <v>1476</v>
      </c>
      <c r="G205" s="50">
        <f t="shared" si="17"/>
        <v>-463</v>
      </c>
      <c r="H205" s="57">
        <v>-2.223</v>
      </c>
      <c r="I205" s="57">
        <v>-0.138</v>
      </c>
      <c r="J205" s="57">
        <v>1.6424</v>
      </c>
      <c r="K205" s="57">
        <v>9.3722</v>
      </c>
      <c r="L205" s="58">
        <v>32.5181</v>
      </c>
      <c r="M205" s="95">
        <v>2.31</v>
      </c>
      <c r="N205" s="96">
        <v>0.4585</v>
      </c>
      <c r="O205" s="103"/>
    </row>
    <row r="206" spans="1:15" ht="12.75">
      <c r="A206" s="47">
        <v>3.12</v>
      </c>
      <c r="B206" s="55">
        <f t="shared" si="18"/>
        <v>4258.9328</v>
      </c>
      <c r="C206" s="50">
        <f t="shared" si="19"/>
        <v>4365.40612</v>
      </c>
      <c r="D206" s="56">
        <f t="shared" si="20"/>
        <v>15.508800000000065</v>
      </c>
      <c r="E206" s="50">
        <f t="shared" si="17"/>
        <v>12</v>
      </c>
      <c r="F206" s="50">
        <f t="shared" si="17"/>
        <v>1476</v>
      </c>
      <c r="G206" s="50">
        <f t="shared" si="17"/>
        <v>-463</v>
      </c>
      <c r="H206" s="57">
        <v>-2.226</v>
      </c>
      <c r="I206" s="57">
        <v>-0.146</v>
      </c>
      <c r="J206" s="57">
        <v>1.6478</v>
      </c>
      <c r="K206" s="57">
        <v>9.3514</v>
      </c>
      <c r="L206" s="58">
        <v>32.5272</v>
      </c>
      <c r="M206" s="95">
        <v>2.32</v>
      </c>
      <c r="N206" s="96">
        <v>0.452</v>
      </c>
      <c r="O206" s="103"/>
    </row>
    <row r="207" spans="1:15" ht="12.75">
      <c r="A207" s="47">
        <v>3.13</v>
      </c>
      <c r="B207" s="55">
        <f t="shared" si="18"/>
        <v>4274.4428</v>
      </c>
      <c r="C207" s="50">
        <f t="shared" si="19"/>
        <v>4381.30387</v>
      </c>
      <c r="D207" s="56">
        <f t="shared" si="20"/>
        <v>15.511200000000372</v>
      </c>
      <c r="E207" s="50">
        <f t="shared" si="17"/>
        <v>12</v>
      </c>
      <c r="F207" s="50">
        <f t="shared" si="17"/>
        <v>1476</v>
      </c>
      <c r="G207" s="50">
        <f t="shared" si="17"/>
        <v>-463</v>
      </c>
      <c r="H207" s="57">
        <v>-2.229</v>
      </c>
      <c r="I207" s="57">
        <v>-0.154</v>
      </c>
      <c r="J207" s="57">
        <v>1.6532</v>
      </c>
      <c r="K207" s="57">
        <v>9.3306</v>
      </c>
      <c r="L207" s="58">
        <v>32.5363</v>
      </c>
      <c r="M207" s="95">
        <v>2.33</v>
      </c>
      <c r="N207" s="96">
        <v>0.4455</v>
      </c>
      <c r="O207" s="103"/>
    </row>
    <row r="208" spans="1:15" ht="12.75">
      <c r="A208" s="47">
        <v>3.14</v>
      </c>
      <c r="B208" s="55">
        <f t="shared" si="18"/>
        <v>4289.9552</v>
      </c>
      <c r="C208" s="50">
        <f t="shared" si="19"/>
        <v>4397.2040799999995</v>
      </c>
      <c r="D208" s="56">
        <f t="shared" si="20"/>
        <v>15.51359999999977</v>
      </c>
      <c r="E208" s="50">
        <f t="shared" si="17"/>
        <v>12</v>
      </c>
      <c r="F208" s="50">
        <f t="shared" si="17"/>
        <v>1476</v>
      </c>
      <c r="G208" s="50">
        <f t="shared" si="17"/>
        <v>-463</v>
      </c>
      <c r="H208" s="57">
        <v>-2.232</v>
      </c>
      <c r="I208" s="57">
        <v>-0.162</v>
      </c>
      <c r="J208" s="57">
        <v>1.6586</v>
      </c>
      <c r="K208" s="57">
        <v>9.3098</v>
      </c>
      <c r="L208" s="58">
        <v>32.5454</v>
      </c>
      <c r="M208" s="95">
        <v>2.34</v>
      </c>
      <c r="N208" s="96">
        <v>0.439</v>
      </c>
      <c r="O208" s="103"/>
    </row>
    <row r="209" spans="1:15" ht="12.75">
      <c r="A209" s="47">
        <v>3.15</v>
      </c>
      <c r="B209" s="55">
        <f t="shared" si="18"/>
        <v>4305.469999999999</v>
      </c>
      <c r="C209" s="50">
        <f t="shared" si="19"/>
        <v>4413.106749999999</v>
      </c>
      <c r="D209" s="56">
        <f t="shared" si="20"/>
        <v>15.515999999999622</v>
      </c>
      <c r="E209" s="50">
        <f t="shared" si="17"/>
        <v>12</v>
      </c>
      <c r="F209" s="50">
        <f t="shared" si="17"/>
        <v>1476</v>
      </c>
      <c r="G209" s="50">
        <f t="shared" si="17"/>
        <v>-463</v>
      </c>
      <c r="H209" s="57">
        <v>-2.235</v>
      </c>
      <c r="I209" s="57">
        <v>-0.17</v>
      </c>
      <c r="J209" s="57">
        <v>1.664</v>
      </c>
      <c r="K209" s="57">
        <v>9.289</v>
      </c>
      <c r="L209" s="58">
        <v>32.5545</v>
      </c>
      <c r="M209" s="95">
        <v>2.35</v>
      </c>
      <c r="N209" s="96">
        <v>0.4325</v>
      </c>
      <c r="O209" s="103"/>
    </row>
    <row r="210" spans="1:15" ht="12.75">
      <c r="A210" s="47">
        <v>3.16</v>
      </c>
      <c r="B210" s="55">
        <f t="shared" si="18"/>
        <v>4320.9872</v>
      </c>
      <c r="C210" s="50">
        <f t="shared" si="19"/>
        <v>4429.011879999999</v>
      </c>
      <c r="D210" s="56">
        <f t="shared" si="20"/>
        <v>15.518400000000383</v>
      </c>
      <c r="E210" s="50">
        <f t="shared" si="17"/>
        <v>12</v>
      </c>
      <c r="F210" s="50">
        <f t="shared" si="17"/>
        <v>1476</v>
      </c>
      <c r="G210" s="50">
        <f t="shared" si="17"/>
        <v>-463</v>
      </c>
      <c r="H210" s="57">
        <v>-2.238</v>
      </c>
      <c r="I210" s="57">
        <v>-0.178</v>
      </c>
      <c r="J210" s="57">
        <v>1.6694</v>
      </c>
      <c r="K210" s="57">
        <v>9.2682</v>
      </c>
      <c r="L210" s="58">
        <v>32.5636</v>
      </c>
      <c r="M210" s="95">
        <v>2.36</v>
      </c>
      <c r="N210" s="96">
        <v>0.426</v>
      </c>
      <c r="O210" s="103"/>
    </row>
    <row r="211" spans="1:15" ht="12.75">
      <c r="A211" s="47">
        <v>3.17</v>
      </c>
      <c r="B211" s="55">
        <f t="shared" si="18"/>
        <v>4336.5068</v>
      </c>
      <c r="C211" s="50">
        <f t="shared" si="19"/>
        <v>4444.91947</v>
      </c>
      <c r="D211" s="56">
        <f t="shared" si="20"/>
        <v>15.520800000000236</v>
      </c>
      <c r="E211" s="50">
        <f t="shared" si="17"/>
        <v>12</v>
      </c>
      <c r="F211" s="50">
        <f t="shared" si="17"/>
        <v>1476</v>
      </c>
      <c r="G211" s="50">
        <f t="shared" si="17"/>
        <v>-463</v>
      </c>
      <c r="H211" s="57">
        <v>-2.241</v>
      </c>
      <c r="I211" s="57">
        <v>-0.186</v>
      </c>
      <c r="J211" s="57">
        <v>1.6748</v>
      </c>
      <c r="K211" s="57">
        <v>9.2474</v>
      </c>
      <c r="L211" s="58">
        <v>32.5727</v>
      </c>
      <c r="M211" s="95">
        <v>2.37</v>
      </c>
      <c r="N211" s="96">
        <v>0.4195</v>
      </c>
      <c r="O211" s="103"/>
    </row>
    <row r="212" spans="1:15" ht="12.75">
      <c r="A212" s="47">
        <v>3.18</v>
      </c>
      <c r="B212" s="55">
        <f t="shared" si="18"/>
        <v>4352.0288</v>
      </c>
      <c r="C212" s="50">
        <f t="shared" si="19"/>
        <v>4460.829519999999</v>
      </c>
      <c r="D212" s="56">
        <f t="shared" si="20"/>
        <v>15.523199999999633</v>
      </c>
      <c r="E212" s="50">
        <f aca="true" t="shared" si="21" ref="E212:G275">E211</f>
        <v>12</v>
      </c>
      <c r="F212" s="50">
        <f t="shared" si="21"/>
        <v>1476</v>
      </c>
      <c r="G212" s="50">
        <f t="shared" si="21"/>
        <v>-463</v>
      </c>
      <c r="H212" s="57">
        <v>-2.244</v>
      </c>
      <c r="I212" s="57">
        <v>-0.194</v>
      </c>
      <c r="J212" s="57">
        <v>1.6802</v>
      </c>
      <c r="K212" s="57">
        <v>9.2266</v>
      </c>
      <c r="L212" s="58">
        <v>32.5818</v>
      </c>
      <c r="M212" s="95">
        <v>2.38</v>
      </c>
      <c r="N212" s="96">
        <v>0.413</v>
      </c>
      <c r="O212" s="103"/>
    </row>
    <row r="213" spans="1:15" ht="12.75">
      <c r="A213" s="47">
        <v>3.19</v>
      </c>
      <c r="B213" s="55">
        <f t="shared" si="18"/>
        <v>4367.553199999999</v>
      </c>
      <c r="C213" s="50">
        <f t="shared" si="19"/>
        <v>4476.7420299999985</v>
      </c>
      <c r="D213" s="56">
        <f t="shared" si="20"/>
        <v>15.52559999999994</v>
      </c>
      <c r="E213" s="50">
        <f t="shared" si="21"/>
        <v>12</v>
      </c>
      <c r="F213" s="50">
        <f t="shared" si="21"/>
        <v>1476</v>
      </c>
      <c r="G213" s="50">
        <f t="shared" si="21"/>
        <v>-463</v>
      </c>
      <c r="H213" s="57">
        <v>-2.247</v>
      </c>
      <c r="I213" s="57">
        <v>-0.202</v>
      </c>
      <c r="J213" s="57">
        <v>1.6856</v>
      </c>
      <c r="K213" s="57">
        <v>9.2058</v>
      </c>
      <c r="L213" s="58">
        <v>32.5909</v>
      </c>
      <c r="M213" s="95">
        <v>2.39</v>
      </c>
      <c r="N213" s="96">
        <v>0.4065</v>
      </c>
      <c r="O213" s="103"/>
    </row>
    <row r="214" spans="1:15" ht="12.75">
      <c r="A214" s="46">
        <v>3.2</v>
      </c>
      <c r="B214" s="51">
        <f t="shared" si="18"/>
        <v>4383.08</v>
      </c>
      <c r="C214" s="52">
        <f t="shared" si="19"/>
        <v>4492.656999999999</v>
      </c>
      <c r="D214" s="53">
        <f t="shared" si="20"/>
        <v>15.528000000000247</v>
      </c>
      <c r="E214" s="52">
        <f t="shared" si="21"/>
        <v>12</v>
      </c>
      <c r="F214" s="52">
        <f t="shared" si="21"/>
        <v>1476</v>
      </c>
      <c r="G214" s="52">
        <f t="shared" si="21"/>
        <v>-463</v>
      </c>
      <c r="H214" s="52">
        <v>-2.25</v>
      </c>
      <c r="I214" s="52">
        <v>-0.21</v>
      </c>
      <c r="J214" s="52">
        <v>1.691</v>
      </c>
      <c r="K214" s="52">
        <v>9.185</v>
      </c>
      <c r="L214" s="54">
        <v>32.6</v>
      </c>
      <c r="M214" s="95">
        <v>2.4</v>
      </c>
      <c r="N214" s="96">
        <v>0.4</v>
      </c>
      <c r="O214" s="103"/>
    </row>
    <row r="215" spans="1:15" ht="12.75">
      <c r="A215" s="47">
        <v>3.21</v>
      </c>
      <c r="B215" s="55">
        <f t="shared" si="18"/>
        <v>4398.6092</v>
      </c>
      <c r="C215" s="50">
        <f t="shared" si="19"/>
        <v>4508.57443</v>
      </c>
      <c r="D215" s="56">
        <f t="shared" si="20"/>
        <v>15.5304000000001</v>
      </c>
      <c r="E215" s="50">
        <f t="shared" si="21"/>
        <v>12</v>
      </c>
      <c r="F215" s="50">
        <f t="shared" si="21"/>
        <v>1476</v>
      </c>
      <c r="G215" s="50">
        <f t="shared" si="21"/>
        <v>-463</v>
      </c>
      <c r="H215" s="57">
        <v>-2.261</v>
      </c>
      <c r="I215" s="57">
        <v>-0.217</v>
      </c>
      <c r="J215" s="57">
        <v>1.6963</v>
      </c>
      <c r="K215" s="57">
        <v>9.1673</v>
      </c>
      <c r="L215" s="58">
        <v>32.6091</v>
      </c>
      <c r="M215" s="95">
        <v>2.41</v>
      </c>
      <c r="N215" s="96">
        <v>0.395</v>
      </c>
      <c r="O215" s="103"/>
    </row>
    <row r="216" spans="1:15" ht="12.75">
      <c r="A216" s="47">
        <v>3.22</v>
      </c>
      <c r="B216" s="55">
        <f t="shared" si="18"/>
        <v>4414.1408</v>
      </c>
      <c r="C216" s="50">
        <f t="shared" si="19"/>
        <v>4524.49432</v>
      </c>
      <c r="D216" s="56">
        <f t="shared" si="20"/>
        <v>15.532799999999952</v>
      </c>
      <c r="E216" s="50">
        <f t="shared" si="21"/>
        <v>12</v>
      </c>
      <c r="F216" s="50">
        <f t="shared" si="21"/>
        <v>1476</v>
      </c>
      <c r="G216" s="50">
        <f t="shared" si="21"/>
        <v>-463</v>
      </c>
      <c r="H216" s="57">
        <v>-2.272</v>
      </c>
      <c r="I216" s="57">
        <v>-0.224</v>
      </c>
      <c r="J216" s="57">
        <v>1.7016</v>
      </c>
      <c r="K216" s="57">
        <v>9.1496</v>
      </c>
      <c r="L216" s="58">
        <v>32.6182</v>
      </c>
      <c r="M216" s="95">
        <v>2.42</v>
      </c>
      <c r="N216" s="96">
        <v>0.39</v>
      </c>
      <c r="O216" s="103"/>
    </row>
    <row r="217" spans="1:15" ht="12.75">
      <c r="A217" s="47">
        <v>3.23</v>
      </c>
      <c r="B217" s="55">
        <f t="shared" si="18"/>
        <v>4429.6748</v>
      </c>
      <c r="C217" s="50">
        <f t="shared" si="19"/>
        <v>4540.41667</v>
      </c>
      <c r="D217" s="56">
        <f t="shared" si="20"/>
        <v>15.535200000000259</v>
      </c>
      <c r="E217" s="50">
        <f t="shared" si="21"/>
        <v>12</v>
      </c>
      <c r="F217" s="50">
        <f t="shared" si="21"/>
        <v>1476</v>
      </c>
      <c r="G217" s="50">
        <f t="shared" si="21"/>
        <v>-463</v>
      </c>
      <c r="H217" s="57">
        <v>-2.283</v>
      </c>
      <c r="I217" s="57">
        <v>-0.231</v>
      </c>
      <c r="J217" s="57">
        <v>1.7069</v>
      </c>
      <c r="K217" s="57">
        <v>9.1319</v>
      </c>
      <c r="L217" s="58">
        <v>32.6273</v>
      </c>
      <c r="M217" s="95">
        <v>2.43</v>
      </c>
      <c r="N217" s="96">
        <v>0.385</v>
      </c>
      <c r="O217" s="103"/>
    </row>
    <row r="218" spans="1:15" ht="12.75">
      <c r="A218" s="47">
        <v>3.24</v>
      </c>
      <c r="B218" s="55">
        <f t="shared" si="18"/>
        <v>4445.211200000001</v>
      </c>
      <c r="C218" s="50">
        <f t="shared" si="19"/>
        <v>4556.34148</v>
      </c>
      <c r="D218" s="56">
        <f t="shared" si="20"/>
        <v>15.537600000000111</v>
      </c>
      <c r="E218" s="50">
        <f t="shared" si="21"/>
        <v>12</v>
      </c>
      <c r="F218" s="50">
        <f t="shared" si="21"/>
        <v>1476</v>
      </c>
      <c r="G218" s="50">
        <f t="shared" si="21"/>
        <v>-463</v>
      </c>
      <c r="H218" s="57">
        <v>-2.294</v>
      </c>
      <c r="I218" s="57">
        <v>-0.238</v>
      </c>
      <c r="J218" s="57">
        <v>1.7122</v>
      </c>
      <c r="K218" s="57">
        <v>9.1142</v>
      </c>
      <c r="L218" s="58">
        <v>32.6364</v>
      </c>
      <c r="M218" s="95">
        <v>2.44</v>
      </c>
      <c r="N218" s="96">
        <v>0.38</v>
      </c>
      <c r="O218" s="103"/>
    </row>
    <row r="219" spans="1:15" ht="12.75">
      <c r="A219" s="47">
        <v>3.25</v>
      </c>
      <c r="B219" s="55">
        <f t="shared" si="18"/>
        <v>4460.75</v>
      </c>
      <c r="C219" s="50">
        <f t="shared" si="19"/>
        <v>4572.268749999999</v>
      </c>
      <c r="D219" s="56">
        <f t="shared" si="20"/>
        <v>15.539999999999509</v>
      </c>
      <c r="E219" s="50">
        <f t="shared" si="21"/>
        <v>12</v>
      </c>
      <c r="F219" s="50">
        <f t="shared" si="21"/>
        <v>1476</v>
      </c>
      <c r="G219" s="50">
        <f t="shared" si="21"/>
        <v>-463</v>
      </c>
      <c r="H219" s="57">
        <v>-2.305</v>
      </c>
      <c r="I219" s="57">
        <v>-0.245</v>
      </c>
      <c r="J219" s="57">
        <v>1.7175</v>
      </c>
      <c r="K219" s="57">
        <v>9.0965</v>
      </c>
      <c r="L219" s="58">
        <v>32.6455</v>
      </c>
      <c r="M219" s="95">
        <v>2.45</v>
      </c>
      <c r="N219" s="96">
        <v>0.375</v>
      </c>
      <c r="O219" s="103"/>
    </row>
    <row r="220" spans="1:15" ht="12.75">
      <c r="A220" s="47">
        <v>3.26</v>
      </c>
      <c r="B220" s="55">
        <f t="shared" si="18"/>
        <v>4476.2912</v>
      </c>
      <c r="C220" s="50">
        <f t="shared" si="19"/>
        <v>4588.198479999999</v>
      </c>
      <c r="D220" s="56">
        <f t="shared" si="20"/>
        <v>15.54240000000027</v>
      </c>
      <c r="E220" s="50">
        <f t="shared" si="21"/>
        <v>12</v>
      </c>
      <c r="F220" s="50">
        <f t="shared" si="21"/>
        <v>1476</v>
      </c>
      <c r="G220" s="50">
        <f t="shared" si="21"/>
        <v>-463</v>
      </c>
      <c r="H220" s="57">
        <v>-2.316</v>
      </c>
      <c r="I220" s="57">
        <v>-0.252</v>
      </c>
      <c r="J220" s="57">
        <v>1.7228</v>
      </c>
      <c r="K220" s="57">
        <v>9.0788</v>
      </c>
      <c r="L220" s="58">
        <v>32.6546</v>
      </c>
      <c r="M220" s="95">
        <v>2.46</v>
      </c>
      <c r="N220" s="96">
        <v>0.37</v>
      </c>
      <c r="O220" s="103"/>
    </row>
    <row r="221" spans="1:15" ht="12.75">
      <c r="A221" s="47">
        <v>3.27</v>
      </c>
      <c r="B221" s="55">
        <f t="shared" si="18"/>
        <v>4491.8348000000005</v>
      </c>
      <c r="C221" s="50">
        <f t="shared" si="19"/>
        <v>4604.1306700000005</v>
      </c>
      <c r="D221" s="56">
        <f t="shared" si="20"/>
        <v>15.544800000000123</v>
      </c>
      <c r="E221" s="50">
        <f t="shared" si="21"/>
        <v>12</v>
      </c>
      <c r="F221" s="50">
        <f t="shared" si="21"/>
        <v>1476</v>
      </c>
      <c r="G221" s="50">
        <f t="shared" si="21"/>
        <v>-463</v>
      </c>
      <c r="H221" s="57">
        <v>-2.327</v>
      </c>
      <c r="I221" s="57">
        <v>-0.259</v>
      </c>
      <c r="J221" s="57">
        <v>1.7281</v>
      </c>
      <c r="K221" s="57">
        <v>9.0611</v>
      </c>
      <c r="L221" s="58">
        <v>32.6637</v>
      </c>
      <c r="M221" s="95">
        <v>2.47</v>
      </c>
      <c r="N221" s="96">
        <v>0.365</v>
      </c>
      <c r="O221" s="103"/>
    </row>
    <row r="222" spans="1:15" ht="12.75">
      <c r="A222" s="47">
        <v>3.28</v>
      </c>
      <c r="B222" s="55">
        <f t="shared" si="18"/>
        <v>4507.3808</v>
      </c>
      <c r="C222" s="50">
        <f t="shared" si="19"/>
        <v>4620.06532</v>
      </c>
      <c r="D222" s="56">
        <f t="shared" si="20"/>
        <v>15.54719999999952</v>
      </c>
      <c r="E222" s="50">
        <f t="shared" si="21"/>
        <v>12</v>
      </c>
      <c r="F222" s="50">
        <f t="shared" si="21"/>
        <v>1476</v>
      </c>
      <c r="G222" s="50">
        <f t="shared" si="21"/>
        <v>-463</v>
      </c>
      <c r="H222" s="57">
        <v>-2.338</v>
      </c>
      <c r="I222" s="57">
        <v>-0.266</v>
      </c>
      <c r="J222" s="57">
        <v>1.7334</v>
      </c>
      <c r="K222" s="57">
        <v>9.0434</v>
      </c>
      <c r="L222" s="58">
        <v>32.6728</v>
      </c>
      <c r="M222" s="95">
        <v>2.48</v>
      </c>
      <c r="N222" s="96">
        <v>0.36</v>
      </c>
      <c r="O222" s="103"/>
    </row>
    <row r="223" spans="1:15" ht="12.75">
      <c r="A223" s="47">
        <v>3.29</v>
      </c>
      <c r="B223" s="55">
        <f t="shared" si="18"/>
        <v>4522.9292</v>
      </c>
      <c r="C223" s="50">
        <f t="shared" si="19"/>
        <v>4636.00243</v>
      </c>
      <c r="D223" s="56">
        <f t="shared" si="20"/>
        <v>15.549600000000282</v>
      </c>
      <c r="E223" s="50">
        <f t="shared" si="21"/>
        <v>12</v>
      </c>
      <c r="F223" s="50">
        <f t="shared" si="21"/>
        <v>1476</v>
      </c>
      <c r="G223" s="50">
        <f t="shared" si="21"/>
        <v>-463</v>
      </c>
      <c r="H223" s="57">
        <v>-2.349</v>
      </c>
      <c r="I223" s="57">
        <v>-0.273</v>
      </c>
      <c r="J223" s="57">
        <v>1.7387</v>
      </c>
      <c r="K223" s="57">
        <v>9.0257</v>
      </c>
      <c r="L223" s="58">
        <v>32.6819</v>
      </c>
      <c r="M223" s="95">
        <v>2.49</v>
      </c>
      <c r="N223" s="96">
        <v>0.355</v>
      </c>
      <c r="O223" s="103"/>
    </row>
    <row r="224" spans="1:15" ht="12.75">
      <c r="A224" s="46">
        <v>3.3</v>
      </c>
      <c r="B224" s="51">
        <f t="shared" si="18"/>
        <v>4538.4800000000005</v>
      </c>
      <c r="C224" s="52">
        <f t="shared" si="19"/>
        <v>4651.942</v>
      </c>
      <c r="D224" s="53">
        <f t="shared" si="20"/>
        <v>15.55200000000059</v>
      </c>
      <c r="E224" s="52">
        <f t="shared" si="21"/>
        <v>12</v>
      </c>
      <c r="F224" s="52">
        <f t="shared" si="21"/>
        <v>1476</v>
      </c>
      <c r="G224" s="52">
        <f t="shared" si="21"/>
        <v>-463</v>
      </c>
      <c r="H224" s="52">
        <v>-2.36</v>
      </c>
      <c r="I224" s="52">
        <v>-0.28</v>
      </c>
      <c r="J224" s="52">
        <v>1.744</v>
      </c>
      <c r="K224" s="52">
        <v>9.008</v>
      </c>
      <c r="L224" s="54">
        <v>32.691</v>
      </c>
      <c r="M224" s="95">
        <v>2.5</v>
      </c>
      <c r="N224" s="96">
        <v>0.35</v>
      </c>
      <c r="O224" s="103"/>
    </row>
    <row r="225" spans="1:15" ht="12.75">
      <c r="A225" s="47">
        <v>3.31</v>
      </c>
      <c r="B225" s="55">
        <f t="shared" si="18"/>
        <v>4554.033200000001</v>
      </c>
      <c r="C225" s="50">
        <f t="shared" si="19"/>
        <v>4667.88403</v>
      </c>
      <c r="D225" s="56">
        <f t="shared" si="20"/>
        <v>15.554399999999532</v>
      </c>
      <c r="E225" s="50">
        <f t="shared" si="21"/>
        <v>12</v>
      </c>
      <c r="F225" s="50">
        <f t="shared" si="21"/>
        <v>1476</v>
      </c>
      <c r="G225" s="50">
        <f t="shared" si="21"/>
        <v>-463</v>
      </c>
      <c r="H225" s="57">
        <v>-2.371</v>
      </c>
      <c r="I225" s="57">
        <v>-0.287</v>
      </c>
      <c r="J225" s="57">
        <v>1.7493</v>
      </c>
      <c r="K225" s="57">
        <v>8.9902</v>
      </c>
      <c r="L225" s="58">
        <v>32.7001</v>
      </c>
      <c r="M225" s="95">
        <v>2.51</v>
      </c>
      <c r="N225" s="96">
        <v>0.345</v>
      </c>
      <c r="O225" s="103"/>
    </row>
    <row r="226" spans="1:15" ht="12.75">
      <c r="A226" s="47">
        <v>3.32</v>
      </c>
      <c r="B226" s="55">
        <f t="shared" si="18"/>
        <v>4569.5887999999995</v>
      </c>
      <c r="C226" s="50">
        <f t="shared" si="19"/>
        <v>4683.828519999999</v>
      </c>
      <c r="D226" s="56">
        <f t="shared" si="20"/>
        <v>15.556799999999384</v>
      </c>
      <c r="E226" s="50">
        <f t="shared" si="21"/>
        <v>12</v>
      </c>
      <c r="F226" s="50">
        <f t="shared" si="21"/>
        <v>1476</v>
      </c>
      <c r="G226" s="50">
        <f t="shared" si="21"/>
        <v>-463</v>
      </c>
      <c r="H226" s="57">
        <v>-2.382</v>
      </c>
      <c r="I226" s="57">
        <v>-0.294</v>
      </c>
      <c r="J226" s="57">
        <v>1.7546</v>
      </c>
      <c r="K226" s="57">
        <v>8.9724</v>
      </c>
      <c r="L226" s="58">
        <v>32.7092</v>
      </c>
      <c r="M226" s="95">
        <v>2.52</v>
      </c>
      <c r="N226" s="96">
        <v>0.34</v>
      </c>
      <c r="O226" s="103"/>
    </row>
    <row r="227" spans="1:15" ht="12.75">
      <c r="A227" s="47">
        <v>3.33</v>
      </c>
      <c r="B227" s="55">
        <f t="shared" si="18"/>
        <v>4585.1467999999995</v>
      </c>
      <c r="C227" s="50">
        <f t="shared" si="19"/>
        <v>4699.775469999999</v>
      </c>
      <c r="D227" s="56">
        <f t="shared" si="20"/>
        <v>15.559200000000146</v>
      </c>
      <c r="E227" s="50">
        <f t="shared" si="21"/>
        <v>12</v>
      </c>
      <c r="F227" s="50">
        <f t="shared" si="21"/>
        <v>1476</v>
      </c>
      <c r="G227" s="50">
        <f t="shared" si="21"/>
        <v>-463</v>
      </c>
      <c r="H227" s="57">
        <v>-2.393</v>
      </c>
      <c r="I227" s="57">
        <v>-0.301</v>
      </c>
      <c r="J227" s="57">
        <v>1.7599</v>
      </c>
      <c r="K227" s="57">
        <v>8.9546</v>
      </c>
      <c r="L227" s="58">
        <v>32.7183</v>
      </c>
      <c r="M227" s="95">
        <v>2.53</v>
      </c>
      <c r="N227" s="96">
        <v>0.335</v>
      </c>
      <c r="O227" s="103"/>
    </row>
    <row r="228" spans="1:15" ht="12.75">
      <c r="A228" s="47">
        <v>3.34</v>
      </c>
      <c r="B228" s="55">
        <f t="shared" si="18"/>
        <v>4600.7072</v>
      </c>
      <c r="C228" s="50">
        <f t="shared" si="19"/>
        <v>4715.72488</v>
      </c>
      <c r="D228" s="56">
        <f t="shared" si="20"/>
        <v>15.561600000000453</v>
      </c>
      <c r="E228" s="50">
        <f t="shared" si="21"/>
        <v>12</v>
      </c>
      <c r="F228" s="50">
        <f t="shared" si="21"/>
        <v>1476</v>
      </c>
      <c r="G228" s="50">
        <f t="shared" si="21"/>
        <v>-463</v>
      </c>
      <c r="H228" s="57">
        <v>-2.404</v>
      </c>
      <c r="I228" s="57">
        <v>-0.308</v>
      </c>
      <c r="J228" s="57">
        <v>1.7652</v>
      </c>
      <c r="K228" s="57">
        <v>8.9368</v>
      </c>
      <c r="L228" s="58">
        <v>32.7274</v>
      </c>
      <c r="M228" s="95">
        <v>2.54</v>
      </c>
      <c r="N228" s="96">
        <v>0.33</v>
      </c>
      <c r="O228" s="103"/>
    </row>
    <row r="229" spans="1:15" ht="12.75">
      <c r="A229" s="47">
        <v>3.35</v>
      </c>
      <c r="B229" s="55">
        <f t="shared" si="18"/>
        <v>4616.27</v>
      </c>
      <c r="C229" s="50">
        <f t="shared" si="19"/>
        <v>4731.67675</v>
      </c>
      <c r="D229" s="56">
        <f t="shared" si="20"/>
        <v>15.56399999999985</v>
      </c>
      <c r="E229" s="50">
        <f t="shared" si="21"/>
        <v>12</v>
      </c>
      <c r="F229" s="50">
        <f t="shared" si="21"/>
        <v>1476</v>
      </c>
      <c r="G229" s="50">
        <f t="shared" si="21"/>
        <v>-463</v>
      </c>
      <c r="H229" s="57">
        <v>-2.415</v>
      </c>
      <c r="I229" s="57">
        <v>-0.315</v>
      </c>
      <c r="J229" s="57">
        <v>1.7705</v>
      </c>
      <c r="K229" s="57">
        <v>8.919</v>
      </c>
      <c r="L229" s="58">
        <v>32.7365</v>
      </c>
      <c r="M229" s="95">
        <v>2.55</v>
      </c>
      <c r="N229" s="96">
        <v>0.325</v>
      </c>
      <c r="O229" s="103"/>
    </row>
    <row r="230" spans="1:15" ht="12.75">
      <c r="A230" s="47">
        <v>3.36</v>
      </c>
      <c r="B230" s="55">
        <f t="shared" si="18"/>
        <v>4631.8351999999995</v>
      </c>
      <c r="C230" s="50">
        <f t="shared" si="19"/>
        <v>4747.631079999999</v>
      </c>
      <c r="D230" s="56">
        <f t="shared" si="20"/>
        <v>15.566399999999703</v>
      </c>
      <c r="E230" s="50">
        <f t="shared" si="21"/>
        <v>12</v>
      </c>
      <c r="F230" s="50">
        <f t="shared" si="21"/>
        <v>1476</v>
      </c>
      <c r="G230" s="50">
        <f t="shared" si="21"/>
        <v>-463</v>
      </c>
      <c r="H230" s="57">
        <v>-2.426</v>
      </c>
      <c r="I230" s="57">
        <v>-0.322</v>
      </c>
      <c r="J230" s="57">
        <v>1.7758</v>
      </c>
      <c r="K230" s="57">
        <v>8.9012</v>
      </c>
      <c r="L230" s="58">
        <v>32.7456</v>
      </c>
      <c r="M230" s="95">
        <v>2.56</v>
      </c>
      <c r="N230" s="96">
        <v>0.32</v>
      </c>
      <c r="O230" s="103"/>
    </row>
    <row r="231" spans="1:15" ht="12.75">
      <c r="A231" s="47">
        <v>3.37</v>
      </c>
      <c r="B231" s="55">
        <f t="shared" si="18"/>
        <v>4647.4028</v>
      </c>
      <c r="C231" s="50">
        <f t="shared" si="19"/>
        <v>4763.587869999999</v>
      </c>
      <c r="D231" s="56">
        <f t="shared" si="20"/>
        <v>15.568800000000465</v>
      </c>
      <c r="E231" s="50">
        <f t="shared" si="21"/>
        <v>12</v>
      </c>
      <c r="F231" s="50">
        <f t="shared" si="21"/>
        <v>1476</v>
      </c>
      <c r="G231" s="50">
        <f t="shared" si="21"/>
        <v>-463</v>
      </c>
      <c r="H231" s="57">
        <v>-2.437</v>
      </c>
      <c r="I231" s="57">
        <v>-0.329</v>
      </c>
      <c r="J231" s="57">
        <v>1.7811</v>
      </c>
      <c r="K231" s="57">
        <v>8.8834</v>
      </c>
      <c r="L231" s="58">
        <v>32.7547</v>
      </c>
      <c r="M231" s="95">
        <v>2.57</v>
      </c>
      <c r="N231" s="96">
        <v>0.315</v>
      </c>
      <c r="O231" s="103"/>
    </row>
    <row r="232" spans="1:15" ht="12.75">
      <c r="A232" s="47">
        <v>3.38</v>
      </c>
      <c r="B232" s="55">
        <f t="shared" si="18"/>
        <v>4662.9728000000005</v>
      </c>
      <c r="C232" s="50">
        <f t="shared" si="19"/>
        <v>4779.54712</v>
      </c>
      <c r="D232" s="56">
        <f t="shared" si="20"/>
        <v>15.571200000000317</v>
      </c>
      <c r="E232" s="50">
        <f t="shared" si="21"/>
        <v>12</v>
      </c>
      <c r="F232" s="50">
        <f t="shared" si="21"/>
        <v>1476</v>
      </c>
      <c r="G232" s="50">
        <f t="shared" si="21"/>
        <v>-463</v>
      </c>
      <c r="H232" s="57">
        <v>-2.448</v>
      </c>
      <c r="I232" s="57">
        <v>-0.336</v>
      </c>
      <c r="J232" s="57">
        <v>1.7864</v>
      </c>
      <c r="K232" s="57">
        <v>8.8656</v>
      </c>
      <c r="L232" s="58">
        <v>32.7638</v>
      </c>
      <c r="M232" s="95">
        <v>2.58</v>
      </c>
      <c r="N232" s="96">
        <v>0.31</v>
      </c>
      <c r="O232" s="103"/>
    </row>
    <row r="233" spans="1:15" ht="12.75">
      <c r="A233" s="47">
        <v>3.39</v>
      </c>
      <c r="B233" s="55">
        <f t="shared" si="18"/>
        <v>4678.5452000000005</v>
      </c>
      <c r="C233" s="50">
        <f t="shared" si="19"/>
        <v>4795.50883</v>
      </c>
      <c r="D233" s="56">
        <f t="shared" si="20"/>
        <v>15.573599999999715</v>
      </c>
      <c r="E233" s="50">
        <f t="shared" si="21"/>
        <v>12</v>
      </c>
      <c r="F233" s="50">
        <f t="shared" si="21"/>
        <v>1476</v>
      </c>
      <c r="G233" s="50">
        <f t="shared" si="21"/>
        <v>-463</v>
      </c>
      <c r="H233" s="57">
        <v>-2.459</v>
      </c>
      <c r="I233" s="57">
        <v>-0.343</v>
      </c>
      <c r="J233" s="57">
        <v>1.7917</v>
      </c>
      <c r="K233" s="57">
        <v>8.8478</v>
      </c>
      <c r="L233" s="58">
        <v>32.7729</v>
      </c>
      <c r="M233" s="95">
        <v>2.59</v>
      </c>
      <c r="N233" s="96">
        <v>0.305</v>
      </c>
      <c r="O233" s="103"/>
    </row>
    <row r="234" spans="1:15" ht="12.75">
      <c r="A234" s="46">
        <v>3.4</v>
      </c>
      <c r="B234" s="51">
        <f t="shared" si="18"/>
        <v>4694.12</v>
      </c>
      <c r="C234" s="52">
        <f t="shared" si="19"/>
        <v>4811.472999999999</v>
      </c>
      <c r="D234" s="53">
        <f t="shared" si="20"/>
        <v>15.575999999999567</v>
      </c>
      <c r="E234" s="52">
        <f t="shared" si="21"/>
        <v>12</v>
      </c>
      <c r="F234" s="52">
        <f t="shared" si="21"/>
        <v>1476</v>
      </c>
      <c r="G234" s="52">
        <f t="shared" si="21"/>
        <v>-463</v>
      </c>
      <c r="H234" s="52">
        <v>-2.47</v>
      </c>
      <c r="I234" s="52">
        <v>-0.35</v>
      </c>
      <c r="J234" s="52">
        <v>1.797</v>
      </c>
      <c r="K234" s="52">
        <v>8.83</v>
      </c>
      <c r="L234" s="54">
        <v>32.782</v>
      </c>
      <c r="M234" s="95">
        <v>2.6</v>
      </c>
      <c r="N234" s="96">
        <v>0.3</v>
      </c>
      <c r="O234" s="103"/>
    </row>
    <row r="235" spans="1:15" ht="12.75">
      <c r="A235" s="47">
        <v>3.41</v>
      </c>
      <c r="B235" s="55">
        <f t="shared" si="18"/>
        <v>4709.6972</v>
      </c>
      <c r="C235" s="50">
        <f t="shared" si="19"/>
        <v>4827.439629999999</v>
      </c>
      <c r="D235" s="56">
        <f t="shared" si="20"/>
        <v>15.578399999999874</v>
      </c>
      <c r="E235" s="50">
        <f t="shared" si="21"/>
        <v>12</v>
      </c>
      <c r="F235" s="50">
        <f t="shared" si="21"/>
        <v>1476</v>
      </c>
      <c r="G235" s="50">
        <f t="shared" si="21"/>
        <v>-463</v>
      </c>
      <c r="H235" s="57">
        <v>-2.472</v>
      </c>
      <c r="I235" s="57">
        <v>-0.357</v>
      </c>
      <c r="J235" s="57">
        <v>1.8024</v>
      </c>
      <c r="K235" s="57">
        <v>8.8142</v>
      </c>
      <c r="L235" s="58">
        <v>32.7882</v>
      </c>
      <c r="M235" s="95">
        <v>2.61</v>
      </c>
      <c r="N235" s="96">
        <v>0.2945</v>
      </c>
      <c r="O235" s="103"/>
    </row>
    <row r="236" spans="1:15" ht="12.75">
      <c r="A236" s="47">
        <v>3.42</v>
      </c>
      <c r="B236" s="55">
        <f t="shared" si="18"/>
        <v>4725.2768</v>
      </c>
      <c r="C236" s="50">
        <f t="shared" si="19"/>
        <v>4843.408719999999</v>
      </c>
      <c r="D236" s="56">
        <f t="shared" si="20"/>
        <v>15.580800000000181</v>
      </c>
      <c r="E236" s="50">
        <f t="shared" si="21"/>
        <v>12</v>
      </c>
      <c r="F236" s="50">
        <f t="shared" si="21"/>
        <v>1476</v>
      </c>
      <c r="G236" s="50">
        <f t="shared" si="21"/>
        <v>-463</v>
      </c>
      <c r="H236" s="57">
        <v>-2.474</v>
      </c>
      <c r="I236" s="57">
        <v>-0.364</v>
      </c>
      <c r="J236" s="57">
        <v>1.8078</v>
      </c>
      <c r="K236" s="57">
        <v>8.7984</v>
      </c>
      <c r="L236" s="58">
        <v>32.7944</v>
      </c>
      <c r="M236" s="95">
        <v>2.62</v>
      </c>
      <c r="N236" s="96">
        <v>0.289</v>
      </c>
      <c r="O236" s="103"/>
    </row>
    <row r="237" spans="1:15" ht="12.75">
      <c r="A237" s="47">
        <v>3.43</v>
      </c>
      <c r="B237" s="55">
        <f t="shared" si="18"/>
        <v>4740.8588</v>
      </c>
      <c r="C237" s="50">
        <f t="shared" si="19"/>
        <v>4859.38027</v>
      </c>
      <c r="D237" s="56">
        <f t="shared" si="20"/>
        <v>15.583200000000033</v>
      </c>
      <c r="E237" s="50">
        <f t="shared" si="21"/>
        <v>12</v>
      </c>
      <c r="F237" s="50">
        <f t="shared" si="21"/>
        <v>1476</v>
      </c>
      <c r="G237" s="50">
        <f t="shared" si="21"/>
        <v>-463</v>
      </c>
      <c r="H237" s="57">
        <v>-2.476</v>
      </c>
      <c r="I237" s="57">
        <v>-0.371</v>
      </c>
      <c r="J237" s="57">
        <v>1.8132</v>
      </c>
      <c r="K237" s="57">
        <v>8.7826</v>
      </c>
      <c r="L237" s="58">
        <v>32.8006</v>
      </c>
      <c r="M237" s="95">
        <v>2.63</v>
      </c>
      <c r="N237" s="96">
        <v>0.2835</v>
      </c>
      <c r="O237" s="103"/>
    </row>
    <row r="238" spans="1:15" ht="12.75">
      <c r="A238" s="47">
        <v>3.44</v>
      </c>
      <c r="B238" s="55">
        <f t="shared" si="18"/>
        <v>4756.4432</v>
      </c>
      <c r="C238" s="50">
        <f t="shared" si="19"/>
        <v>4875.35428</v>
      </c>
      <c r="D238" s="56">
        <f t="shared" si="20"/>
        <v>15.585599999999886</v>
      </c>
      <c r="E238" s="50">
        <f t="shared" si="21"/>
        <v>12</v>
      </c>
      <c r="F238" s="50">
        <f t="shared" si="21"/>
        <v>1476</v>
      </c>
      <c r="G238" s="50">
        <f t="shared" si="21"/>
        <v>-463</v>
      </c>
      <c r="H238" s="57">
        <v>-2.478</v>
      </c>
      <c r="I238" s="57">
        <v>-0.378</v>
      </c>
      <c r="J238" s="57">
        <v>1.8186</v>
      </c>
      <c r="K238" s="57">
        <v>8.7668</v>
      </c>
      <c r="L238" s="58">
        <v>32.8068</v>
      </c>
      <c r="M238" s="95">
        <v>2.64</v>
      </c>
      <c r="N238" s="96">
        <v>0.278</v>
      </c>
      <c r="O238" s="103"/>
    </row>
    <row r="239" spans="1:15" ht="12.75">
      <c r="A239" s="47">
        <v>3.45</v>
      </c>
      <c r="B239" s="55">
        <f t="shared" si="18"/>
        <v>4772.03</v>
      </c>
      <c r="C239" s="50">
        <f t="shared" si="19"/>
        <v>4891.330749999999</v>
      </c>
      <c r="D239" s="56">
        <f t="shared" si="20"/>
        <v>15.588000000000193</v>
      </c>
      <c r="E239" s="50">
        <f t="shared" si="21"/>
        <v>12</v>
      </c>
      <c r="F239" s="50">
        <f t="shared" si="21"/>
        <v>1476</v>
      </c>
      <c r="G239" s="50">
        <f t="shared" si="21"/>
        <v>-463</v>
      </c>
      <c r="H239" s="57">
        <v>-2.48</v>
      </c>
      <c r="I239" s="57">
        <v>-0.385</v>
      </c>
      <c r="J239" s="57">
        <v>1.824</v>
      </c>
      <c r="K239" s="57">
        <v>8.751</v>
      </c>
      <c r="L239" s="58">
        <v>32.813</v>
      </c>
      <c r="M239" s="95">
        <v>2.65</v>
      </c>
      <c r="N239" s="96">
        <v>0.2725</v>
      </c>
      <c r="O239" s="103"/>
    </row>
    <row r="240" spans="1:15" ht="12.75">
      <c r="A240" s="47">
        <v>3.46</v>
      </c>
      <c r="B240" s="55">
        <f t="shared" si="18"/>
        <v>4787.6192</v>
      </c>
      <c r="C240" s="50">
        <f t="shared" si="19"/>
        <v>4907.309679999999</v>
      </c>
      <c r="D240" s="56">
        <f t="shared" si="20"/>
        <v>15.590400000000045</v>
      </c>
      <c r="E240" s="50">
        <f t="shared" si="21"/>
        <v>12</v>
      </c>
      <c r="F240" s="50">
        <f t="shared" si="21"/>
        <v>1476</v>
      </c>
      <c r="G240" s="50">
        <f t="shared" si="21"/>
        <v>-463</v>
      </c>
      <c r="H240" s="57">
        <v>-2.482</v>
      </c>
      <c r="I240" s="57">
        <v>-0.392</v>
      </c>
      <c r="J240" s="57">
        <v>1.8294</v>
      </c>
      <c r="K240" s="57">
        <v>8.7352</v>
      </c>
      <c r="L240" s="58">
        <v>32.8192</v>
      </c>
      <c r="M240" s="95">
        <v>2.66</v>
      </c>
      <c r="N240" s="96">
        <v>0.267</v>
      </c>
      <c r="O240" s="103"/>
    </row>
    <row r="241" spans="1:15" ht="12.75">
      <c r="A241" s="47">
        <v>3.47</v>
      </c>
      <c r="B241" s="55">
        <f t="shared" si="18"/>
        <v>4803.2108</v>
      </c>
      <c r="C241" s="50">
        <f t="shared" si="19"/>
        <v>4923.291069999999</v>
      </c>
      <c r="D241" s="56">
        <f t="shared" si="20"/>
        <v>15.592799999999897</v>
      </c>
      <c r="E241" s="50">
        <f t="shared" si="21"/>
        <v>12</v>
      </c>
      <c r="F241" s="50">
        <f t="shared" si="21"/>
        <v>1476</v>
      </c>
      <c r="G241" s="50">
        <f t="shared" si="21"/>
        <v>-463</v>
      </c>
      <c r="H241" s="57">
        <v>-2.484</v>
      </c>
      <c r="I241" s="57">
        <v>-0.399</v>
      </c>
      <c r="J241" s="57">
        <v>1.8348</v>
      </c>
      <c r="K241" s="57">
        <v>8.7194</v>
      </c>
      <c r="L241" s="58">
        <v>32.8254</v>
      </c>
      <c r="M241" s="95">
        <v>2.67</v>
      </c>
      <c r="N241" s="96">
        <v>0.2615</v>
      </c>
      <c r="O241" s="103"/>
    </row>
    <row r="242" spans="1:15" ht="12.75">
      <c r="A242" s="47">
        <v>3.48</v>
      </c>
      <c r="B242" s="55">
        <f t="shared" si="18"/>
        <v>4818.8048</v>
      </c>
      <c r="C242" s="50">
        <f t="shared" si="19"/>
        <v>4939.27492</v>
      </c>
      <c r="D242" s="56">
        <f t="shared" si="20"/>
        <v>15.595200000000204</v>
      </c>
      <c r="E242" s="50">
        <f t="shared" si="21"/>
        <v>12</v>
      </c>
      <c r="F242" s="50">
        <f t="shared" si="21"/>
        <v>1476</v>
      </c>
      <c r="G242" s="50">
        <f t="shared" si="21"/>
        <v>-463</v>
      </c>
      <c r="H242" s="57">
        <v>-2.486</v>
      </c>
      <c r="I242" s="57">
        <v>-0.406</v>
      </c>
      <c r="J242" s="57">
        <v>1.8402</v>
      </c>
      <c r="K242" s="57">
        <v>8.7036</v>
      </c>
      <c r="L242" s="58">
        <v>32.8316</v>
      </c>
      <c r="M242" s="95">
        <v>2.68</v>
      </c>
      <c r="N242" s="96">
        <v>0.256</v>
      </c>
      <c r="O242" s="103"/>
    </row>
    <row r="243" spans="1:15" ht="12.75">
      <c r="A243" s="47">
        <v>3.49</v>
      </c>
      <c r="B243" s="55">
        <f t="shared" si="18"/>
        <v>4834.4012</v>
      </c>
      <c r="C243" s="50">
        <f t="shared" si="19"/>
        <v>4955.26123</v>
      </c>
      <c r="D243" s="56">
        <f t="shared" si="20"/>
        <v>15.597600000000057</v>
      </c>
      <c r="E243" s="50">
        <f t="shared" si="21"/>
        <v>12</v>
      </c>
      <c r="F243" s="50">
        <f t="shared" si="21"/>
        <v>1476</v>
      </c>
      <c r="G243" s="50">
        <f t="shared" si="21"/>
        <v>-463</v>
      </c>
      <c r="H243" s="57">
        <v>-2.488</v>
      </c>
      <c r="I243" s="57">
        <v>-0.413</v>
      </c>
      <c r="J243" s="57">
        <v>1.8456</v>
      </c>
      <c r="K243" s="57">
        <v>8.6878</v>
      </c>
      <c r="L243" s="58">
        <v>32.8378</v>
      </c>
      <c r="M243" s="95">
        <v>2.69</v>
      </c>
      <c r="N243" s="96">
        <v>0.2505</v>
      </c>
      <c r="O243" s="103"/>
    </row>
    <row r="244" spans="1:15" ht="12.75">
      <c r="A244" s="46">
        <v>3.5</v>
      </c>
      <c r="B244" s="51">
        <f t="shared" si="18"/>
        <v>4850</v>
      </c>
      <c r="C244" s="52">
        <f t="shared" si="19"/>
        <v>4971.25</v>
      </c>
      <c r="D244" s="53">
        <f t="shared" si="20"/>
        <v>15.599999999999454</v>
      </c>
      <c r="E244" s="52">
        <f t="shared" si="21"/>
        <v>12</v>
      </c>
      <c r="F244" s="52">
        <f t="shared" si="21"/>
        <v>1476</v>
      </c>
      <c r="G244" s="52">
        <f t="shared" si="21"/>
        <v>-463</v>
      </c>
      <c r="H244" s="52">
        <v>-2.49</v>
      </c>
      <c r="I244" s="52">
        <v>-0.42</v>
      </c>
      <c r="J244" s="52">
        <v>1.851</v>
      </c>
      <c r="K244" s="52">
        <v>8.672</v>
      </c>
      <c r="L244" s="54">
        <v>32.844</v>
      </c>
      <c r="M244" s="95">
        <v>2.7</v>
      </c>
      <c r="N244" s="96">
        <v>0.245</v>
      </c>
      <c r="O244" s="103"/>
    </row>
    <row r="245" spans="1:15" ht="12.75">
      <c r="A245" s="47">
        <v>3.51</v>
      </c>
      <c r="B245" s="55">
        <f t="shared" si="18"/>
        <v>4865.601199999999</v>
      </c>
      <c r="C245" s="50">
        <f t="shared" si="19"/>
        <v>4987.241229999999</v>
      </c>
      <c r="D245" s="56">
        <f t="shared" si="20"/>
        <v>15.602400000000216</v>
      </c>
      <c r="E245" s="50">
        <f t="shared" si="21"/>
        <v>12</v>
      </c>
      <c r="F245" s="50">
        <f t="shared" si="21"/>
        <v>1476</v>
      </c>
      <c r="G245" s="50">
        <f t="shared" si="21"/>
        <v>-463</v>
      </c>
      <c r="H245" s="57">
        <v>-2.485</v>
      </c>
      <c r="I245" s="57">
        <v>-0.427</v>
      </c>
      <c r="J245" s="57">
        <v>1.8563</v>
      </c>
      <c r="K245" s="57">
        <v>8.657</v>
      </c>
      <c r="L245" s="58">
        <v>32.8496</v>
      </c>
      <c r="M245" s="95">
        <v>2.71</v>
      </c>
      <c r="N245" s="96">
        <v>0.2395</v>
      </c>
      <c r="O245" s="103"/>
    </row>
    <row r="246" spans="1:15" ht="12.75">
      <c r="A246" s="47">
        <v>3.52</v>
      </c>
      <c r="B246" s="55">
        <f t="shared" si="18"/>
        <v>4881.2048</v>
      </c>
      <c r="C246" s="50">
        <f t="shared" si="19"/>
        <v>5003.23492</v>
      </c>
      <c r="D246" s="56">
        <f t="shared" si="20"/>
        <v>15.604800000000068</v>
      </c>
      <c r="E246" s="50">
        <f t="shared" si="21"/>
        <v>12</v>
      </c>
      <c r="F246" s="50">
        <f t="shared" si="21"/>
        <v>1476</v>
      </c>
      <c r="G246" s="50">
        <f t="shared" si="21"/>
        <v>-463</v>
      </c>
      <c r="H246" s="57">
        <v>-2.48</v>
      </c>
      <c r="I246" s="57">
        <v>-0.434</v>
      </c>
      <c r="J246" s="57">
        <v>1.8616</v>
      </c>
      <c r="K246" s="57">
        <v>8.642</v>
      </c>
      <c r="L246" s="58">
        <v>32.8552</v>
      </c>
      <c r="M246" s="95">
        <v>2.72</v>
      </c>
      <c r="N246" s="96">
        <v>0.234</v>
      </c>
      <c r="O246" s="103"/>
    </row>
    <row r="247" spans="1:15" ht="12.75">
      <c r="A247" s="47">
        <v>3.53</v>
      </c>
      <c r="B247" s="55">
        <f t="shared" si="18"/>
        <v>4896.810799999999</v>
      </c>
      <c r="C247" s="50">
        <f t="shared" si="19"/>
        <v>5019.231069999999</v>
      </c>
      <c r="D247" s="56">
        <f t="shared" si="20"/>
        <v>15.60719999999992</v>
      </c>
      <c r="E247" s="50">
        <f t="shared" si="21"/>
        <v>12</v>
      </c>
      <c r="F247" s="50">
        <f t="shared" si="21"/>
        <v>1476</v>
      </c>
      <c r="G247" s="50">
        <f t="shared" si="21"/>
        <v>-463</v>
      </c>
      <c r="H247" s="57">
        <v>-2.475</v>
      </c>
      <c r="I247" s="57">
        <v>-0.441</v>
      </c>
      <c r="J247" s="57">
        <v>1.8669</v>
      </c>
      <c r="K247" s="57">
        <v>8.627</v>
      </c>
      <c r="L247" s="58">
        <v>32.8608</v>
      </c>
      <c r="M247" s="95">
        <v>2.73</v>
      </c>
      <c r="N247" s="96">
        <v>0.2285</v>
      </c>
      <c r="O247" s="103"/>
    </row>
    <row r="248" spans="1:15" ht="12.75">
      <c r="A248" s="47">
        <v>3.54</v>
      </c>
      <c r="B248" s="55">
        <f t="shared" si="18"/>
        <v>4912.4192</v>
      </c>
      <c r="C248" s="50">
        <f t="shared" si="19"/>
        <v>5035.2296799999995</v>
      </c>
      <c r="D248" s="56">
        <f t="shared" si="20"/>
        <v>15.609600000000228</v>
      </c>
      <c r="E248" s="50">
        <f t="shared" si="21"/>
        <v>12</v>
      </c>
      <c r="F248" s="50">
        <f t="shared" si="21"/>
        <v>1476</v>
      </c>
      <c r="G248" s="50">
        <f t="shared" si="21"/>
        <v>-463</v>
      </c>
      <c r="H248" s="57">
        <v>-2.47</v>
      </c>
      <c r="I248" s="57">
        <v>-0.448</v>
      </c>
      <c r="J248" s="57">
        <v>1.8722</v>
      </c>
      <c r="K248" s="57">
        <v>8.612</v>
      </c>
      <c r="L248" s="58">
        <v>32.8664</v>
      </c>
      <c r="M248" s="95">
        <v>2.74</v>
      </c>
      <c r="N248" s="96">
        <v>0.223</v>
      </c>
      <c r="O248" s="103"/>
    </row>
    <row r="249" spans="1:15" ht="12.75">
      <c r="A249" s="47">
        <v>3.55</v>
      </c>
      <c r="B249" s="55">
        <f t="shared" si="18"/>
        <v>4928.03</v>
      </c>
      <c r="C249" s="50">
        <f t="shared" si="19"/>
        <v>5051.23075</v>
      </c>
      <c r="D249" s="56">
        <f t="shared" si="20"/>
        <v>15.61200000000008</v>
      </c>
      <c r="E249" s="50">
        <f t="shared" si="21"/>
        <v>12</v>
      </c>
      <c r="F249" s="50">
        <f t="shared" si="21"/>
        <v>1476</v>
      </c>
      <c r="G249" s="50">
        <f t="shared" si="21"/>
        <v>-463</v>
      </c>
      <c r="H249" s="57">
        <v>-2.465</v>
      </c>
      <c r="I249" s="57">
        <v>-0.455</v>
      </c>
      <c r="J249" s="57">
        <v>1.8775</v>
      </c>
      <c r="K249" s="57">
        <v>8.597</v>
      </c>
      <c r="L249" s="58">
        <v>32.872</v>
      </c>
      <c r="M249" s="95">
        <v>2.75</v>
      </c>
      <c r="N249" s="96">
        <v>0.2175</v>
      </c>
      <c r="O249" s="103"/>
    </row>
    <row r="250" spans="1:15" ht="12.75">
      <c r="A250" s="47">
        <v>3.56</v>
      </c>
      <c r="B250" s="55">
        <f t="shared" si="18"/>
        <v>4943.6432</v>
      </c>
      <c r="C250" s="50">
        <f t="shared" si="19"/>
        <v>5067.23428</v>
      </c>
      <c r="D250" s="56">
        <f t="shared" si="20"/>
        <v>15.614399999999932</v>
      </c>
      <c r="E250" s="50">
        <f t="shared" si="21"/>
        <v>12</v>
      </c>
      <c r="F250" s="50">
        <f t="shared" si="21"/>
        <v>1476</v>
      </c>
      <c r="G250" s="50">
        <f t="shared" si="21"/>
        <v>-463</v>
      </c>
      <c r="H250" s="57">
        <v>-2.46</v>
      </c>
      <c r="I250" s="57">
        <v>-0.462</v>
      </c>
      <c r="J250" s="57">
        <v>1.8828</v>
      </c>
      <c r="K250" s="57">
        <v>8.582</v>
      </c>
      <c r="L250" s="58">
        <v>32.8776</v>
      </c>
      <c r="M250" s="95">
        <v>2.76</v>
      </c>
      <c r="N250" s="96">
        <v>0.212</v>
      </c>
      <c r="O250" s="103"/>
    </row>
    <row r="251" spans="1:15" ht="12.75">
      <c r="A251" s="47">
        <v>3.57</v>
      </c>
      <c r="B251" s="55">
        <f t="shared" si="18"/>
        <v>4959.2588</v>
      </c>
      <c r="C251" s="50">
        <f t="shared" si="19"/>
        <v>5083.240269999999</v>
      </c>
      <c r="D251" s="56">
        <f t="shared" si="20"/>
        <v>15.616799999999785</v>
      </c>
      <c r="E251" s="50">
        <f t="shared" si="21"/>
        <v>12</v>
      </c>
      <c r="F251" s="50">
        <f t="shared" si="21"/>
        <v>1476</v>
      </c>
      <c r="G251" s="50">
        <f t="shared" si="21"/>
        <v>-463</v>
      </c>
      <c r="H251" s="57">
        <v>-2.455</v>
      </c>
      <c r="I251" s="57">
        <v>-0.469</v>
      </c>
      <c r="J251" s="57">
        <v>1.8881</v>
      </c>
      <c r="K251" s="57">
        <v>8.567</v>
      </c>
      <c r="L251" s="58">
        <v>32.8832</v>
      </c>
      <c r="M251" s="95">
        <v>2.77</v>
      </c>
      <c r="N251" s="96">
        <v>0.2065</v>
      </c>
      <c r="O251" s="103"/>
    </row>
    <row r="252" spans="1:15" ht="12.75">
      <c r="A252" s="47">
        <v>3.58</v>
      </c>
      <c r="B252" s="55">
        <f t="shared" si="18"/>
        <v>4974.8768</v>
      </c>
      <c r="C252" s="50">
        <f t="shared" si="19"/>
        <v>5099.24872</v>
      </c>
      <c r="D252" s="56">
        <f t="shared" si="20"/>
        <v>15.619200000000092</v>
      </c>
      <c r="E252" s="50">
        <f t="shared" si="21"/>
        <v>12</v>
      </c>
      <c r="F252" s="50">
        <f t="shared" si="21"/>
        <v>1476</v>
      </c>
      <c r="G252" s="50">
        <f t="shared" si="21"/>
        <v>-463</v>
      </c>
      <c r="H252" s="57">
        <v>-2.45</v>
      </c>
      <c r="I252" s="57">
        <v>-0.476</v>
      </c>
      <c r="J252" s="57">
        <v>1.8934</v>
      </c>
      <c r="K252" s="57">
        <v>8.552</v>
      </c>
      <c r="L252" s="58">
        <v>32.8888</v>
      </c>
      <c r="M252" s="95">
        <v>2.78</v>
      </c>
      <c r="N252" s="96">
        <v>0.201</v>
      </c>
      <c r="O252" s="103"/>
    </row>
    <row r="253" spans="1:15" ht="12.75">
      <c r="A253" s="47">
        <v>3.59</v>
      </c>
      <c r="B253" s="55">
        <f t="shared" si="18"/>
        <v>4990.4972</v>
      </c>
      <c r="C253" s="50">
        <f t="shared" si="19"/>
        <v>5115.25963</v>
      </c>
      <c r="D253" s="56">
        <f t="shared" si="20"/>
        <v>15.621600000000399</v>
      </c>
      <c r="E253" s="50">
        <f t="shared" si="21"/>
        <v>12</v>
      </c>
      <c r="F253" s="50">
        <f t="shared" si="21"/>
        <v>1476</v>
      </c>
      <c r="G253" s="50">
        <f t="shared" si="21"/>
        <v>-463</v>
      </c>
      <c r="H253" s="57">
        <v>-2.445</v>
      </c>
      <c r="I253" s="57">
        <v>-0.483</v>
      </c>
      <c r="J253" s="57">
        <v>1.8987</v>
      </c>
      <c r="K253" s="57">
        <v>8.537</v>
      </c>
      <c r="L253" s="58">
        <v>32.8944</v>
      </c>
      <c r="M253" s="95">
        <v>2.79</v>
      </c>
      <c r="N253" s="96">
        <v>0.1955</v>
      </c>
      <c r="O253" s="103"/>
    </row>
    <row r="254" spans="1:15" ht="12.75">
      <c r="A254" s="46">
        <v>3.6</v>
      </c>
      <c r="B254" s="51">
        <f t="shared" si="18"/>
        <v>5006.120000000001</v>
      </c>
      <c r="C254" s="52">
        <f t="shared" si="19"/>
        <v>5131.273</v>
      </c>
      <c r="D254" s="53">
        <f t="shared" si="20"/>
        <v>15.623999999999796</v>
      </c>
      <c r="E254" s="52">
        <f t="shared" si="21"/>
        <v>12</v>
      </c>
      <c r="F254" s="52">
        <f t="shared" si="21"/>
        <v>1476</v>
      </c>
      <c r="G254" s="52">
        <f t="shared" si="21"/>
        <v>-463</v>
      </c>
      <c r="H254" s="52">
        <v>-2.44</v>
      </c>
      <c r="I254" s="52">
        <v>-0.49</v>
      </c>
      <c r="J254" s="52">
        <v>1.904</v>
      </c>
      <c r="K254" s="52">
        <v>8.522</v>
      </c>
      <c r="L254" s="54">
        <v>32.9</v>
      </c>
      <c r="M254" s="95">
        <v>2.8</v>
      </c>
      <c r="N254" s="96">
        <v>0.19</v>
      </c>
      <c r="O254" s="103"/>
    </row>
    <row r="255" spans="1:15" ht="12.75">
      <c r="A255" s="47">
        <v>3.61</v>
      </c>
      <c r="B255" s="55">
        <f t="shared" si="18"/>
        <v>5021.745199999999</v>
      </c>
      <c r="C255" s="50">
        <f t="shared" si="19"/>
        <v>5147.288829999999</v>
      </c>
      <c r="D255" s="56">
        <f t="shared" si="20"/>
        <v>15.626399999999649</v>
      </c>
      <c r="E255" s="50">
        <f t="shared" si="21"/>
        <v>12</v>
      </c>
      <c r="F255" s="50">
        <f t="shared" si="21"/>
        <v>1476</v>
      </c>
      <c r="G255" s="50">
        <f t="shared" si="21"/>
        <v>-463</v>
      </c>
      <c r="H255" s="57">
        <v>-2.436</v>
      </c>
      <c r="I255" s="57">
        <v>-0.495</v>
      </c>
      <c r="J255" s="57">
        <v>1.9093</v>
      </c>
      <c r="K255" s="57">
        <v>8.5082</v>
      </c>
      <c r="L255" s="58">
        <v>32.905</v>
      </c>
      <c r="M255" s="95">
        <v>2.81</v>
      </c>
      <c r="N255" s="96">
        <v>0.1853</v>
      </c>
      <c r="O255" s="103"/>
    </row>
    <row r="256" spans="1:15" ht="12.75">
      <c r="A256" s="47">
        <v>3.62</v>
      </c>
      <c r="B256" s="55">
        <f t="shared" si="18"/>
        <v>5037.3728</v>
      </c>
      <c r="C256" s="50">
        <f t="shared" si="19"/>
        <v>5163.3071199999995</v>
      </c>
      <c r="D256" s="56">
        <f t="shared" si="20"/>
        <v>15.62880000000041</v>
      </c>
      <c r="E256" s="50">
        <f t="shared" si="21"/>
        <v>12</v>
      </c>
      <c r="F256" s="50">
        <f t="shared" si="21"/>
        <v>1476</v>
      </c>
      <c r="G256" s="50">
        <f t="shared" si="21"/>
        <v>-463</v>
      </c>
      <c r="H256" s="57">
        <v>-2.432</v>
      </c>
      <c r="I256" s="57">
        <v>-0.5</v>
      </c>
      <c r="J256" s="57">
        <v>1.9146</v>
      </c>
      <c r="K256" s="57">
        <v>8.4944</v>
      </c>
      <c r="L256" s="58">
        <v>32.91</v>
      </c>
      <c r="M256" s="95">
        <v>2.82</v>
      </c>
      <c r="N256" s="96">
        <v>0.1806</v>
      </c>
      <c r="O256" s="103"/>
    </row>
    <row r="257" spans="1:15" ht="12.75">
      <c r="A257" s="47">
        <v>3.63</v>
      </c>
      <c r="B257" s="55">
        <f t="shared" si="18"/>
        <v>5053.0028</v>
      </c>
      <c r="C257" s="50">
        <f t="shared" si="19"/>
        <v>5179.32787</v>
      </c>
      <c r="D257" s="56">
        <f t="shared" si="20"/>
        <v>15.631200000000263</v>
      </c>
      <c r="E257" s="50">
        <f t="shared" si="21"/>
        <v>12</v>
      </c>
      <c r="F257" s="50">
        <f t="shared" si="21"/>
        <v>1476</v>
      </c>
      <c r="G257" s="50">
        <f t="shared" si="21"/>
        <v>-463</v>
      </c>
      <c r="H257" s="57">
        <v>-2.428</v>
      </c>
      <c r="I257" s="57">
        <v>-0.505</v>
      </c>
      <c r="J257" s="57">
        <v>1.9199</v>
      </c>
      <c r="K257" s="57">
        <v>8.4806</v>
      </c>
      <c r="L257" s="58">
        <v>32.915</v>
      </c>
      <c r="M257" s="95">
        <v>2.83</v>
      </c>
      <c r="N257" s="96">
        <v>0.1759</v>
      </c>
      <c r="O257" s="103"/>
    </row>
    <row r="258" spans="1:15" ht="12.75">
      <c r="A258" s="47">
        <v>3.64</v>
      </c>
      <c r="B258" s="55">
        <f t="shared" si="18"/>
        <v>5068.635200000001</v>
      </c>
      <c r="C258" s="50">
        <f t="shared" si="19"/>
        <v>5195.35108</v>
      </c>
      <c r="D258" s="56">
        <f t="shared" si="20"/>
        <v>15.63359999999966</v>
      </c>
      <c r="E258" s="50">
        <f t="shared" si="21"/>
        <v>12</v>
      </c>
      <c r="F258" s="50">
        <f t="shared" si="21"/>
        <v>1476</v>
      </c>
      <c r="G258" s="50">
        <f t="shared" si="21"/>
        <v>-463</v>
      </c>
      <c r="H258" s="57">
        <v>-2.424</v>
      </c>
      <c r="I258" s="57">
        <v>-0.51</v>
      </c>
      <c r="J258" s="57">
        <v>1.9252</v>
      </c>
      <c r="K258" s="57">
        <v>8.4668</v>
      </c>
      <c r="L258" s="58">
        <v>32.92</v>
      </c>
      <c r="M258" s="95">
        <v>2.84</v>
      </c>
      <c r="N258" s="96">
        <v>0.1712</v>
      </c>
      <c r="O258" s="103"/>
    </row>
    <row r="259" spans="1:15" ht="12.75">
      <c r="A259" s="47">
        <v>3.65</v>
      </c>
      <c r="B259" s="55">
        <f t="shared" si="18"/>
        <v>5084.2699999999995</v>
      </c>
      <c r="C259" s="50">
        <f t="shared" si="19"/>
        <v>5211.376749999999</v>
      </c>
      <c r="D259" s="56">
        <f t="shared" si="20"/>
        <v>15.635999999999513</v>
      </c>
      <c r="E259" s="50">
        <f t="shared" si="21"/>
        <v>12</v>
      </c>
      <c r="F259" s="50">
        <f t="shared" si="21"/>
        <v>1476</v>
      </c>
      <c r="G259" s="50">
        <f t="shared" si="21"/>
        <v>-463</v>
      </c>
      <c r="H259" s="57">
        <v>-2.42</v>
      </c>
      <c r="I259" s="57">
        <v>-0.515</v>
      </c>
      <c r="J259" s="57">
        <v>1.9305</v>
      </c>
      <c r="K259" s="57">
        <v>8.453</v>
      </c>
      <c r="L259" s="58">
        <v>32.925</v>
      </c>
      <c r="M259" s="95">
        <v>2.85</v>
      </c>
      <c r="N259" s="96">
        <v>0.1665</v>
      </c>
      <c r="O259" s="103"/>
    </row>
    <row r="260" spans="1:15" ht="12.75">
      <c r="A260" s="47">
        <v>3.66</v>
      </c>
      <c r="B260" s="55">
        <f aca="true" t="shared" si="22" ref="B260:B294">E260*A260^2+F260*A260+G260</f>
        <v>5099.9072</v>
      </c>
      <c r="C260" s="50">
        <f t="shared" si="19"/>
        <v>5227.404879999999</v>
      </c>
      <c r="D260" s="56">
        <f t="shared" si="20"/>
        <v>15.638400000000274</v>
      </c>
      <c r="E260" s="50">
        <f t="shared" si="21"/>
        <v>12</v>
      </c>
      <c r="F260" s="50">
        <f t="shared" si="21"/>
        <v>1476</v>
      </c>
      <c r="G260" s="50">
        <f t="shared" si="21"/>
        <v>-463</v>
      </c>
      <c r="H260" s="57">
        <v>-2.416</v>
      </c>
      <c r="I260" s="57">
        <v>-0.52</v>
      </c>
      <c r="J260" s="57">
        <v>1.9358</v>
      </c>
      <c r="K260" s="57">
        <v>8.4392</v>
      </c>
      <c r="L260" s="58">
        <v>32.93</v>
      </c>
      <c r="M260" s="95">
        <v>2.86</v>
      </c>
      <c r="N260" s="96">
        <v>0.1618</v>
      </c>
      <c r="O260" s="103"/>
    </row>
    <row r="261" spans="1:15" ht="12.75">
      <c r="A261" s="47">
        <v>3.67</v>
      </c>
      <c r="B261" s="55">
        <f t="shared" si="22"/>
        <v>5115.5468</v>
      </c>
      <c r="C261" s="50">
        <f t="shared" si="19"/>
        <v>5243.435469999999</v>
      </c>
      <c r="D261" s="56">
        <f t="shared" si="20"/>
        <v>15.640800000000127</v>
      </c>
      <c r="E261" s="50">
        <f t="shared" si="21"/>
        <v>12</v>
      </c>
      <c r="F261" s="50">
        <f t="shared" si="21"/>
        <v>1476</v>
      </c>
      <c r="G261" s="50">
        <f t="shared" si="21"/>
        <v>-463</v>
      </c>
      <c r="H261" s="57">
        <v>-2.412</v>
      </c>
      <c r="I261" s="57">
        <v>-0.525</v>
      </c>
      <c r="J261" s="57">
        <v>1.9411</v>
      </c>
      <c r="K261" s="57">
        <v>8.4254</v>
      </c>
      <c r="L261" s="58">
        <v>32.935</v>
      </c>
      <c r="M261" s="95">
        <v>2.87</v>
      </c>
      <c r="N261" s="96">
        <v>0.1571</v>
      </c>
      <c r="O261" s="103"/>
    </row>
    <row r="262" spans="1:15" ht="12.75">
      <c r="A262" s="47">
        <v>3.68</v>
      </c>
      <c r="B262" s="55">
        <f t="shared" si="22"/>
        <v>5131.1888</v>
      </c>
      <c r="C262" s="50">
        <f aca="true" t="shared" si="23" ref="C262:C294">B262*1.025</f>
        <v>5259.468519999999</v>
      </c>
      <c r="D262" s="56">
        <f aca="true" t="shared" si="24" ref="D262:D293">(B263-B261)/2</f>
        <v>15.643199999999524</v>
      </c>
      <c r="E262" s="50">
        <f t="shared" si="21"/>
        <v>12</v>
      </c>
      <c r="F262" s="50">
        <f t="shared" si="21"/>
        <v>1476</v>
      </c>
      <c r="G262" s="50">
        <f t="shared" si="21"/>
        <v>-463</v>
      </c>
      <c r="H262" s="57">
        <v>-2.408</v>
      </c>
      <c r="I262" s="57">
        <v>-0.53</v>
      </c>
      <c r="J262" s="57">
        <v>1.9464</v>
      </c>
      <c r="K262" s="57">
        <v>8.4116</v>
      </c>
      <c r="L262" s="58">
        <v>32.94</v>
      </c>
      <c r="M262" s="95">
        <v>2.88</v>
      </c>
      <c r="N262" s="96">
        <v>0.1524</v>
      </c>
      <c r="O262" s="103"/>
    </row>
    <row r="263" spans="1:15" ht="12.75">
      <c r="A263" s="47">
        <v>3.69</v>
      </c>
      <c r="B263" s="55">
        <f t="shared" si="22"/>
        <v>5146.833199999999</v>
      </c>
      <c r="C263" s="50">
        <f t="shared" si="23"/>
        <v>5275.504029999998</v>
      </c>
      <c r="D263" s="56">
        <f t="shared" si="24"/>
        <v>15.645599999999831</v>
      </c>
      <c r="E263" s="50">
        <f t="shared" si="21"/>
        <v>12</v>
      </c>
      <c r="F263" s="50">
        <f t="shared" si="21"/>
        <v>1476</v>
      </c>
      <c r="G263" s="50">
        <f t="shared" si="21"/>
        <v>-463</v>
      </c>
      <c r="H263" s="57">
        <v>-2.404</v>
      </c>
      <c r="I263" s="57">
        <v>-0.535</v>
      </c>
      <c r="J263" s="57">
        <v>1.9517</v>
      </c>
      <c r="K263" s="57">
        <v>8.3978</v>
      </c>
      <c r="L263" s="58">
        <v>32.945</v>
      </c>
      <c r="M263" s="95">
        <v>2.89</v>
      </c>
      <c r="N263" s="96">
        <v>0.1477</v>
      </c>
      <c r="O263" s="103"/>
    </row>
    <row r="264" spans="1:15" ht="12.75">
      <c r="A264" s="46">
        <v>3.7</v>
      </c>
      <c r="B264" s="51">
        <f t="shared" si="22"/>
        <v>5162.48</v>
      </c>
      <c r="C264" s="52">
        <f t="shared" si="23"/>
        <v>5291.5419999999995</v>
      </c>
      <c r="D264" s="53">
        <f t="shared" si="24"/>
        <v>15.648000000000593</v>
      </c>
      <c r="E264" s="52">
        <f t="shared" si="21"/>
        <v>12</v>
      </c>
      <c r="F264" s="52">
        <f t="shared" si="21"/>
        <v>1476</v>
      </c>
      <c r="G264" s="52">
        <f t="shared" si="21"/>
        <v>-463</v>
      </c>
      <c r="H264" s="52">
        <v>-2.4</v>
      </c>
      <c r="I264" s="52">
        <v>-0.54</v>
      </c>
      <c r="J264" s="52">
        <v>1.957</v>
      </c>
      <c r="K264" s="52">
        <v>8.384</v>
      </c>
      <c r="L264" s="54">
        <v>32.95</v>
      </c>
      <c r="M264" s="95">
        <v>2.9</v>
      </c>
      <c r="N264" s="96">
        <v>0.143</v>
      </c>
      <c r="O264" s="103"/>
    </row>
    <row r="265" spans="1:15" ht="12.75">
      <c r="A265" s="47">
        <v>3.71</v>
      </c>
      <c r="B265" s="55">
        <f t="shared" si="22"/>
        <v>5178.1292</v>
      </c>
      <c r="C265" s="50">
        <f t="shared" si="23"/>
        <v>5307.5824299999995</v>
      </c>
      <c r="D265" s="56">
        <f t="shared" si="24"/>
        <v>15.650400000000445</v>
      </c>
      <c r="E265" s="50">
        <f t="shared" si="21"/>
        <v>12</v>
      </c>
      <c r="F265" s="50">
        <f t="shared" si="21"/>
        <v>1476</v>
      </c>
      <c r="G265" s="50">
        <f t="shared" si="21"/>
        <v>-463</v>
      </c>
      <c r="H265" s="57">
        <v>-2.396</v>
      </c>
      <c r="I265" s="57">
        <v>-0.546</v>
      </c>
      <c r="J265" s="57">
        <v>1.9623</v>
      </c>
      <c r="K265" s="57">
        <v>8.3712</v>
      </c>
      <c r="L265" s="58">
        <v>32.955</v>
      </c>
      <c r="M265" s="95">
        <v>2.91</v>
      </c>
      <c r="N265" s="96">
        <v>0.1377</v>
      </c>
      <c r="O265" s="103"/>
    </row>
    <row r="266" spans="1:15" ht="12.75">
      <c r="A266" s="47">
        <v>3.72</v>
      </c>
      <c r="B266" s="55">
        <f t="shared" si="22"/>
        <v>5193.7808</v>
      </c>
      <c r="C266" s="50">
        <f t="shared" si="23"/>
        <v>5323.62532</v>
      </c>
      <c r="D266" s="56">
        <f t="shared" si="24"/>
        <v>15.652799999999843</v>
      </c>
      <c r="E266" s="50">
        <f t="shared" si="21"/>
        <v>12</v>
      </c>
      <c r="F266" s="50">
        <f t="shared" si="21"/>
        <v>1476</v>
      </c>
      <c r="G266" s="50">
        <f t="shared" si="21"/>
        <v>-463</v>
      </c>
      <c r="H266" s="57">
        <v>-2.392</v>
      </c>
      <c r="I266" s="57">
        <v>-0.552</v>
      </c>
      <c r="J266" s="57">
        <v>1.9676</v>
      </c>
      <c r="K266" s="57">
        <v>8.3584</v>
      </c>
      <c r="L266" s="58">
        <v>32.96</v>
      </c>
      <c r="M266" s="95">
        <v>2.92</v>
      </c>
      <c r="N266" s="96">
        <v>0.1324</v>
      </c>
      <c r="O266" s="103"/>
    </row>
    <row r="267" spans="1:15" ht="12.75">
      <c r="A267" s="47">
        <v>3.73</v>
      </c>
      <c r="B267" s="55">
        <f t="shared" si="22"/>
        <v>5209.4348</v>
      </c>
      <c r="C267" s="50">
        <f t="shared" si="23"/>
        <v>5339.6706699999995</v>
      </c>
      <c r="D267" s="56">
        <f t="shared" si="24"/>
        <v>15.65520000000015</v>
      </c>
      <c r="E267" s="50">
        <f t="shared" si="21"/>
        <v>12</v>
      </c>
      <c r="F267" s="50">
        <f t="shared" si="21"/>
        <v>1476</v>
      </c>
      <c r="G267" s="50">
        <f t="shared" si="21"/>
        <v>-463</v>
      </c>
      <c r="H267" s="57">
        <v>-2.388</v>
      </c>
      <c r="I267" s="57">
        <v>-0.558</v>
      </c>
      <c r="J267" s="57">
        <v>1.9729</v>
      </c>
      <c r="K267" s="57">
        <v>8.3456</v>
      </c>
      <c r="L267" s="58">
        <v>32.965</v>
      </c>
      <c r="M267" s="95">
        <v>2.93</v>
      </c>
      <c r="N267" s="96">
        <v>0.1271</v>
      </c>
      <c r="O267" s="103"/>
    </row>
    <row r="268" spans="1:15" ht="12.75">
      <c r="A268" s="47">
        <v>3.74</v>
      </c>
      <c r="B268" s="55">
        <f t="shared" si="22"/>
        <v>5225.091200000001</v>
      </c>
      <c r="C268" s="50">
        <f t="shared" si="23"/>
        <v>5355.71848</v>
      </c>
      <c r="D268" s="56">
        <f t="shared" si="24"/>
        <v>15.657600000000002</v>
      </c>
      <c r="E268" s="50">
        <f t="shared" si="21"/>
        <v>12</v>
      </c>
      <c r="F268" s="50">
        <f t="shared" si="21"/>
        <v>1476</v>
      </c>
      <c r="G268" s="50">
        <f t="shared" si="21"/>
        <v>-463</v>
      </c>
      <c r="H268" s="57">
        <v>-2.384</v>
      </c>
      <c r="I268" s="57">
        <v>-0.564</v>
      </c>
      <c r="J268" s="57">
        <v>1.9782</v>
      </c>
      <c r="K268" s="57">
        <v>8.3328</v>
      </c>
      <c r="L268" s="58">
        <v>32.97</v>
      </c>
      <c r="M268" s="95">
        <v>2.94</v>
      </c>
      <c r="N268" s="96">
        <v>0.1218</v>
      </c>
      <c r="O268" s="103"/>
    </row>
    <row r="269" spans="1:15" ht="12.75">
      <c r="A269" s="47">
        <v>3.75</v>
      </c>
      <c r="B269" s="55">
        <f t="shared" si="22"/>
        <v>5240.75</v>
      </c>
      <c r="C269" s="50">
        <f t="shared" si="23"/>
        <v>5371.768749999999</v>
      </c>
      <c r="D269" s="56">
        <f t="shared" si="24"/>
        <v>15.6599999999994</v>
      </c>
      <c r="E269" s="50">
        <f t="shared" si="21"/>
        <v>12</v>
      </c>
      <c r="F269" s="50">
        <f t="shared" si="21"/>
        <v>1476</v>
      </c>
      <c r="G269" s="50">
        <f t="shared" si="21"/>
        <v>-463</v>
      </c>
      <c r="H269" s="57">
        <v>-2.38</v>
      </c>
      <c r="I269" s="57">
        <v>-0.57</v>
      </c>
      <c r="J269" s="57">
        <v>1.9835</v>
      </c>
      <c r="K269" s="57">
        <v>8.32</v>
      </c>
      <c r="L269" s="58">
        <v>32.975</v>
      </c>
      <c r="M269" s="95">
        <v>2.95</v>
      </c>
      <c r="N269" s="96">
        <v>0.1165</v>
      </c>
      <c r="O269" s="103"/>
    </row>
    <row r="270" spans="1:15" ht="12.75">
      <c r="A270" s="47">
        <v>3.76</v>
      </c>
      <c r="B270" s="55">
        <f t="shared" si="22"/>
        <v>5256.4112</v>
      </c>
      <c r="C270" s="50">
        <f t="shared" si="23"/>
        <v>5387.821479999999</v>
      </c>
      <c r="D270" s="56">
        <f t="shared" si="24"/>
        <v>15.662400000000162</v>
      </c>
      <c r="E270" s="50">
        <f t="shared" si="21"/>
        <v>12</v>
      </c>
      <c r="F270" s="50">
        <f t="shared" si="21"/>
        <v>1476</v>
      </c>
      <c r="G270" s="50">
        <f t="shared" si="21"/>
        <v>-463</v>
      </c>
      <c r="H270" s="57">
        <v>-2.376</v>
      </c>
      <c r="I270" s="57">
        <v>-0.576</v>
      </c>
      <c r="J270" s="57">
        <v>1.9888</v>
      </c>
      <c r="K270" s="57">
        <v>8.3072</v>
      </c>
      <c r="L270" s="58">
        <v>32.98</v>
      </c>
      <c r="M270" s="95">
        <v>2.96</v>
      </c>
      <c r="N270" s="96">
        <v>0.1112</v>
      </c>
      <c r="O270" s="103"/>
    </row>
    <row r="271" spans="1:15" ht="12.75">
      <c r="A271" s="47">
        <v>3.77</v>
      </c>
      <c r="B271" s="55">
        <f t="shared" si="22"/>
        <v>5272.0748</v>
      </c>
      <c r="C271" s="50">
        <f t="shared" si="23"/>
        <v>5403.87667</v>
      </c>
      <c r="D271" s="56">
        <f t="shared" si="24"/>
        <v>15.664800000000014</v>
      </c>
      <c r="E271" s="50">
        <f t="shared" si="21"/>
        <v>12</v>
      </c>
      <c r="F271" s="50">
        <f t="shared" si="21"/>
        <v>1476</v>
      </c>
      <c r="G271" s="50">
        <f t="shared" si="21"/>
        <v>-463</v>
      </c>
      <c r="H271" s="57">
        <v>-2.372</v>
      </c>
      <c r="I271" s="57">
        <v>-0.582</v>
      </c>
      <c r="J271" s="57">
        <v>1.9941</v>
      </c>
      <c r="K271" s="57">
        <v>8.2944</v>
      </c>
      <c r="L271" s="58">
        <v>32.985</v>
      </c>
      <c r="M271" s="95">
        <v>2.97</v>
      </c>
      <c r="N271" s="96">
        <v>0.1059</v>
      </c>
      <c r="O271" s="103"/>
    </row>
    <row r="272" spans="1:15" ht="12.75">
      <c r="A272" s="47">
        <v>3.78</v>
      </c>
      <c r="B272" s="55">
        <f t="shared" si="22"/>
        <v>5287.7408</v>
      </c>
      <c r="C272" s="50">
        <f t="shared" si="23"/>
        <v>5419.934319999999</v>
      </c>
      <c r="D272" s="56">
        <f t="shared" si="24"/>
        <v>15.667199999999866</v>
      </c>
      <c r="E272" s="50">
        <f t="shared" si="21"/>
        <v>12</v>
      </c>
      <c r="F272" s="50">
        <f t="shared" si="21"/>
        <v>1476</v>
      </c>
      <c r="G272" s="50">
        <f t="shared" si="21"/>
        <v>-463</v>
      </c>
      <c r="H272" s="57">
        <v>-2.368</v>
      </c>
      <c r="I272" s="57">
        <v>-0.588</v>
      </c>
      <c r="J272" s="57">
        <v>1.9994</v>
      </c>
      <c r="K272" s="57">
        <v>8.2816</v>
      </c>
      <c r="L272" s="58">
        <v>32.99</v>
      </c>
      <c r="M272" s="95">
        <v>2.98</v>
      </c>
      <c r="N272" s="96">
        <v>0.1006</v>
      </c>
      <c r="O272" s="103"/>
    </row>
    <row r="273" spans="1:15" ht="12.75">
      <c r="A273" s="47">
        <v>3.79</v>
      </c>
      <c r="B273" s="55">
        <f t="shared" si="22"/>
        <v>5303.4092</v>
      </c>
      <c r="C273" s="50">
        <f t="shared" si="23"/>
        <v>5435.99443</v>
      </c>
      <c r="D273" s="56">
        <f t="shared" si="24"/>
        <v>15.669600000000173</v>
      </c>
      <c r="E273" s="50">
        <f t="shared" si="21"/>
        <v>12</v>
      </c>
      <c r="F273" s="50">
        <f t="shared" si="21"/>
        <v>1476</v>
      </c>
      <c r="G273" s="50">
        <f t="shared" si="21"/>
        <v>-463</v>
      </c>
      <c r="H273" s="57">
        <v>-2.364</v>
      </c>
      <c r="I273" s="57">
        <v>-0.594</v>
      </c>
      <c r="J273" s="57">
        <v>2.0047</v>
      </c>
      <c r="K273" s="57">
        <v>8.2688</v>
      </c>
      <c r="L273" s="58">
        <v>32.995</v>
      </c>
      <c r="M273" s="95">
        <v>2.99</v>
      </c>
      <c r="N273" s="96">
        <v>0.0953</v>
      </c>
      <c r="O273" s="103"/>
    </row>
    <row r="274" spans="1:15" ht="12.75">
      <c r="A274" s="46">
        <v>3.8</v>
      </c>
      <c r="B274" s="51">
        <f t="shared" si="22"/>
        <v>5319.08</v>
      </c>
      <c r="C274" s="52">
        <f t="shared" si="23"/>
        <v>5452.057</v>
      </c>
      <c r="D274" s="53">
        <f t="shared" si="24"/>
        <v>15.672000000000025</v>
      </c>
      <c r="E274" s="52">
        <f t="shared" si="21"/>
        <v>12</v>
      </c>
      <c r="F274" s="52">
        <f t="shared" si="21"/>
        <v>1476</v>
      </c>
      <c r="G274" s="52">
        <f t="shared" si="21"/>
        <v>-463</v>
      </c>
      <c r="H274" s="52">
        <v>-2.36</v>
      </c>
      <c r="I274" s="52">
        <v>-0.6</v>
      </c>
      <c r="J274" s="52">
        <v>2.01</v>
      </c>
      <c r="K274" s="52">
        <v>8.256</v>
      </c>
      <c r="L274" s="54">
        <v>33</v>
      </c>
      <c r="M274" s="95">
        <v>3</v>
      </c>
      <c r="N274" s="96">
        <v>0.09</v>
      </c>
      <c r="O274" s="103"/>
    </row>
    <row r="275" spans="1:15" ht="12.75">
      <c r="A275" s="47">
        <v>3.81</v>
      </c>
      <c r="B275" s="55">
        <f t="shared" si="22"/>
        <v>5334.7532</v>
      </c>
      <c r="C275" s="50">
        <f t="shared" si="23"/>
        <v>5468.1220299999995</v>
      </c>
      <c r="D275" s="56">
        <f t="shared" si="24"/>
        <v>15.674399999999878</v>
      </c>
      <c r="E275" s="50">
        <f t="shared" si="21"/>
        <v>12</v>
      </c>
      <c r="F275" s="50">
        <f t="shared" si="21"/>
        <v>1476</v>
      </c>
      <c r="G275" s="50">
        <f t="shared" si="21"/>
        <v>-463</v>
      </c>
      <c r="H275" s="57">
        <v>-2.355</v>
      </c>
      <c r="I275" s="57">
        <v>-0.6045</v>
      </c>
      <c r="J275" s="57">
        <v>2.0153</v>
      </c>
      <c r="K275" s="57">
        <v>8.2448</v>
      </c>
      <c r="L275" s="58">
        <v>33.005</v>
      </c>
      <c r="M275" s="95">
        <v>3.01</v>
      </c>
      <c r="N275" s="96">
        <v>0.0855</v>
      </c>
      <c r="O275" s="103"/>
    </row>
    <row r="276" spans="1:15" ht="12.75">
      <c r="A276" s="47">
        <v>3.82</v>
      </c>
      <c r="B276" s="55">
        <f t="shared" si="22"/>
        <v>5350.4288</v>
      </c>
      <c r="C276" s="50">
        <f t="shared" si="23"/>
        <v>5484.189519999999</v>
      </c>
      <c r="D276" s="56">
        <f t="shared" si="24"/>
        <v>15.67679999999973</v>
      </c>
      <c r="E276" s="50">
        <f aca="true" t="shared" si="25" ref="E276:G294">E275</f>
        <v>12</v>
      </c>
      <c r="F276" s="50">
        <f t="shared" si="25"/>
        <v>1476</v>
      </c>
      <c r="G276" s="50">
        <f t="shared" si="25"/>
        <v>-463</v>
      </c>
      <c r="H276" s="57">
        <v>-2.35</v>
      </c>
      <c r="I276" s="57">
        <v>-0.609</v>
      </c>
      <c r="J276" s="57">
        <v>2.0206</v>
      </c>
      <c r="K276" s="57">
        <v>8.2336</v>
      </c>
      <c r="L276" s="58">
        <v>33.01</v>
      </c>
      <c r="M276" s="95">
        <v>3.02</v>
      </c>
      <c r="N276" s="96">
        <v>0.081</v>
      </c>
      <c r="O276" s="103"/>
    </row>
    <row r="277" spans="1:15" ht="12.75">
      <c r="A277" s="47">
        <v>3.83</v>
      </c>
      <c r="B277" s="55">
        <f t="shared" si="22"/>
        <v>5366.1068</v>
      </c>
      <c r="C277" s="50">
        <f t="shared" si="23"/>
        <v>5500.259469999999</v>
      </c>
      <c r="D277" s="56">
        <f t="shared" si="24"/>
        <v>15.679200000000037</v>
      </c>
      <c r="E277" s="50">
        <f t="shared" si="25"/>
        <v>12</v>
      </c>
      <c r="F277" s="50">
        <f t="shared" si="25"/>
        <v>1476</v>
      </c>
      <c r="G277" s="50">
        <f t="shared" si="25"/>
        <v>-463</v>
      </c>
      <c r="H277" s="57">
        <v>-2.345</v>
      </c>
      <c r="I277" s="57">
        <v>-0.6135</v>
      </c>
      <c r="J277" s="57">
        <v>2.0259</v>
      </c>
      <c r="K277" s="57">
        <v>8.2224</v>
      </c>
      <c r="L277" s="58">
        <v>33.015</v>
      </c>
      <c r="M277" s="95">
        <v>3.03</v>
      </c>
      <c r="N277" s="96">
        <v>0.0765</v>
      </c>
      <c r="O277" s="103"/>
    </row>
    <row r="278" spans="1:15" ht="12.75">
      <c r="A278" s="47">
        <v>3.84</v>
      </c>
      <c r="B278" s="55">
        <f t="shared" si="22"/>
        <v>5381.7872</v>
      </c>
      <c r="C278" s="50">
        <f t="shared" si="23"/>
        <v>5516.331879999999</v>
      </c>
      <c r="D278" s="56">
        <f t="shared" si="24"/>
        <v>15.681600000000344</v>
      </c>
      <c r="E278" s="50">
        <f t="shared" si="25"/>
        <v>12</v>
      </c>
      <c r="F278" s="50">
        <f t="shared" si="25"/>
        <v>1476</v>
      </c>
      <c r="G278" s="50">
        <f t="shared" si="25"/>
        <v>-463</v>
      </c>
      <c r="H278" s="57">
        <v>-2.34</v>
      </c>
      <c r="I278" s="57">
        <v>-0.618</v>
      </c>
      <c r="J278" s="57">
        <v>2.0312</v>
      </c>
      <c r="K278" s="57">
        <v>8.2112</v>
      </c>
      <c r="L278" s="58">
        <v>33.02</v>
      </c>
      <c r="M278" s="95">
        <v>3.04</v>
      </c>
      <c r="N278" s="96">
        <v>0.072</v>
      </c>
      <c r="O278" s="103"/>
    </row>
    <row r="279" spans="1:15" ht="12.75">
      <c r="A279" s="47">
        <v>3.85</v>
      </c>
      <c r="B279" s="55">
        <f t="shared" si="22"/>
        <v>5397.47</v>
      </c>
      <c r="C279" s="50">
        <f t="shared" si="23"/>
        <v>5532.40675</v>
      </c>
      <c r="D279" s="56">
        <f t="shared" si="24"/>
        <v>15.683999999999742</v>
      </c>
      <c r="E279" s="50">
        <f t="shared" si="25"/>
        <v>12</v>
      </c>
      <c r="F279" s="50">
        <f t="shared" si="25"/>
        <v>1476</v>
      </c>
      <c r="G279" s="50">
        <f t="shared" si="25"/>
        <v>-463</v>
      </c>
      <c r="H279" s="57">
        <v>-2.335</v>
      </c>
      <c r="I279" s="57">
        <v>-0.6225</v>
      </c>
      <c r="J279" s="57">
        <v>2.0365</v>
      </c>
      <c r="K279" s="57">
        <v>8.2</v>
      </c>
      <c r="L279" s="58">
        <v>33.025</v>
      </c>
      <c r="M279" s="95">
        <v>3.05</v>
      </c>
      <c r="N279" s="96">
        <v>0.0675</v>
      </c>
      <c r="O279" s="103"/>
    </row>
    <row r="280" spans="1:15" ht="12.75">
      <c r="A280" s="47">
        <v>3.86</v>
      </c>
      <c r="B280" s="55">
        <f t="shared" si="22"/>
        <v>5413.155199999999</v>
      </c>
      <c r="C280" s="50">
        <f t="shared" si="23"/>
        <v>5548.484079999998</v>
      </c>
      <c r="D280" s="56">
        <f t="shared" si="24"/>
        <v>15.686400000000049</v>
      </c>
      <c r="E280" s="50">
        <f t="shared" si="25"/>
        <v>12</v>
      </c>
      <c r="F280" s="50">
        <f t="shared" si="25"/>
        <v>1476</v>
      </c>
      <c r="G280" s="50">
        <f t="shared" si="25"/>
        <v>-463</v>
      </c>
      <c r="H280" s="57">
        <v>-2.33</v>
      </c>
      <c r="I280" s="57">
        <v>-0.627</v>
      </c>
      <c r="J280" s="57">
        <v>2.0418</v>
      </c>
      <c r="K280" s="57">
        <v>8.1888</v>
      </c>
      <c r="L280" s="58">
        <v>33.03</v>
      </c>
      <c r="M280" s="95">
        <v>3.06</v>
      </c>
      <c r="N280" s="96">
        <v>0.063</v>
      </c>
      <c r="O280" s="103"/>
    </row>
    <row r="281" spans="1:15" ht="12.75">
      <c r="A281" s="47">
        <v>3.87</v>
      </c>
      <c r="B281" s="55">
        <f t="shared" si="22"/>
        <v>5428.8428</v>
      </c>
      <c r="C281" s="50">
        <f t="shared" si="23"/>
        <v>5564.56387</v>
      </c>
      <c r="D281" s="56">
        <f t="shared" si="24"/>
        <v>15.688800000000356</v>
      </c>
      <c r="E281" s="50">
        <f t="shared" si="25"/>
        <v>12</v>
      </c>
      <c r="F281" s="50">
        <f t="shared" si="25"/>
        <v>1476</v>
      </c>
      <c r="G281" s="50">
        <f t="shared" si="25"/>
        <v>-463</v>
      </c>
      <c r="H281" s="57">
        <v>-2.325</v>
      </c>
      <c r="I281" s="57">
        <v>-0.6315</v>
      </c>
      <c r="J281" s="57">
        <v>2.0471</v>
      </c>
      <c r="K281" s="57">
        <v>8.1776</v>
      </c>
      <c r="L281" s="58">
        <v>33.035</v>
      </c>
      <c r="M281" s="95">
        <v>3.07</v>
      </c>
      <c r="N281" s="96">
        <v>0.0585</v>
      </c>
      <c r="O281" s="103"/>
    </row>
    <row r="282" spans="1:15" ht="12.75">
      <c r="A282" s="47">
        <v>3.88</v>
      </c>
      <c r="B282" s="55">
        <f t="shared" si="22"/>
        <v>5444.5328</v>
      </c>
      <c r="C282" s="50">
        <f t="shared" si="23"/>
        <v>5580.646119999999</v>
      </c>
      <c r="D282" s="56">
        <f t="shared" si="24"/>
        <v>15.691200000000208</v>
      </c>
      <c r="E282" s="50">
        <f t="shared" si="25"/>
        <v>12</v>
      </c>
      <c r="F282" s="50">
        <f t="shared" si="25"/>
        <v>1476</v>
      </c>
      <c r="G282" s="50">
        <f t="shared" si="25"/>
        <v>-463</v>
      </c>
      <c r="H282" s="57">
        <v>-2.32</v>
      </c>
      <c r="I282" s="57">
        <v>-0.636</v>
      </c>
      <c r="J282" s="57">
        <v>2.0524</v>
      </c>
      <c r="K282" s="57">
        <v>8.1664</v>
      </c>
      <c r="L282" s="58">
        <v>33.04</v>
      </c>
      <c r="M282" s="95">
        <v>3.08</v>
      </c>
      <c r="N282" s="96">
        <v>0.054</v>
      </c>
      <c r="O282" s="103"/>
    </row>
    <row r="283" spans="1:15" ht="12.75">
      <c r="A283" s="47">
        <v>3.89</v>
      </c>
      <c r="B283" s="55">
        <f t="shared" si="22"/>
        <v>5460.225200000001</v>
      </c>
      <c r="C283" s="50">
        <f t="shared" si="23"/>
        <v>5596.73083</v>
      </c>
      <c r="D283" s="56">
        <f t="shared" si="24"/>
        <v>15.69360000000006</v>
      </c>
      <c r="E283" s="50">
        <f t="shared" si="25"/>
        <v>12</v>
      </c>
      <c r="F283" s="50">
        <f t="shared" si="25"/>
        <v>1476</v>
      </c>
      <c r="G283" s="50">
        <f t="shared" si="25"/>
        <v>-463</v>
      </c>
      <c r="H283" s="57">
        <v>-2.315</v>
      </c>
      <c r="I283" s="57">
        <v>-0.6405</v>
      </c>
      <c r="J283" s="57">
        <v>2.0577</v>
      </c>
      <c r="K283" s="57">
        <v>8.1552</v>
      </c>
      <c r="L283" s="58">
        <v>33.045</v>
      </c>
      <c r="M283" s="95">
        <v>3.09</v>
      </c>
      <c r="N283" s="96">
        <v>0.0495</v>
      </c>
      <c r="O283" s="103"/>
    </row>
    <row r="284" spans="1:15" ht="12.75">
      <c r="A284" s="46">
        <v>3.9</v>
      </c>
      <c r="B284" s="51">
        <f t="shared" si="22"/>
        <v>5475.92</v>
      </c>
      <c r="C284" s="52">
        <f t="shared" si="23"/>
        <v>5612.817999999999</v>
      </c>
      <c r="D284" s="53">
        <f t="shared" si="24"/>
        <v>15.695999999999458</v>
      </c>
      <c r="E284" s="52">
        <f t="shared" si="25"/>
        <v>12</v>
      </c>
      <c r="F284" s="52">
        <f t="shared" si="25"/>
        <v>1476</v>
      </c>
      <c r="G284" s="52">
        <f t="shared" si="25"/>
        <v>-463</v>
      </c>
      <c r="H284" s="52">
        <v>-2.31</v>
      </c>
      <c r="I284" s="52">
        <v>-0.645</v>
      </c>
      <c r="J284" s="52">
        <v>2.063</v>
      </c>
      <c r="K284" s="52">
        <v>8.144</v>
      </c>
      <c r="L284" s="54">
        <v>33.05</v>
      </c>
      <c r="M284" s="95">
        <v>3.1</v>
      </c>
      <c r="N284" s="96">
        <v>0.045</v>
      </c>
      <c r="O284" s="103"/>
    </row>
    <row r="285" spans="1:15" ht="12.75">
      <c r="A285" s="47">
        <v>3.91</v>
      </c>
      <c r="B285" s="55">
        <f t="shared" si="22"/>
        <v>5491.6172</v>
      </c>
      <c r="C285" s="50">
        <f t="shared" si="23"/>
        <v>5628.907629999999</v>
      </c>
      <c r="D285" s="56">
        <f t="shared" si="24"/>
        <v>15.69840000000022</v>
      </c>
      <c r="E285" s="50">
        <f t="shared" si="25"/>
        <v>12</v>
      </c>
      <c r="F285" s="50">
        <f t="shared" si="25"/>
        <v>1476</v>
      </c>
      <c r="G285" s="50">
        <f t="shared" si="25"/>
        <v>-463</v>
      </c>
      <c r="H285" s="57">
        <v>-2.305</v>
      </c>
      <c r="I285" s="57">
        <v>-0.6495</v>
      </c>
      <c r="J285" s="57">
        <v>2.0682</v>
      </c>
      <c r="K285" s="57">
        <v>8.1327</v>
      </c>
      <c r="L285" s="58">
        <v>33.055</v>
      </c>
      <c r="M285" s="95">
        <v>3.11</v>
      </c>
      <c r="N285" s="96">
        <v>0.0405</v>
      </c>
      <c r="O285" s="103"/>
    </row>
    <row r="286" spans="1:15" ht="12.75">
      <c r="A286" s="47">
        <v>3.92</v>
      </c>
      <c r="B286" s="55">
        <f t="shared" si="22"/>
        <v>5507.3168000000005</v>
      </c>
      <c r="C286" s="50">
        <f t="shared" si="23"/>
        <v>5644.99972</v>
      </c>
      <c r="D286" s="56">
        <f t="shared" si="24"/>
        <v>15.700800000000072</v>
      </c>
      <c r="E286" s="50">
        <f t="shared" si="25"/>
        <v>12</v>
      </c>
      <c r="F286" s="50">
        <f t="shared" si="25"/>
        <v>1476</v>
      </c>
      <c r="G286" s="50">
        <f t="shared" si="25"/>
        <v>-463</v>
      </c>
      <c r="H286" s="57">
        <v>-2.3</v>
      </c>
      <c r="I286" s="57">
        <v>-0.654</v>
      </c>
      <c r="J286" s="57">
        <v>2.0734</v>
      </c>
      <c r="K286" s="57">
        <v>8.1214</v>
      </c>
      <c r="L286" s="58">
        <v>33.06</v>
      </c>
      <c r="M286" s="95">
        <v>3.12</v>
      </c>
      <c r="N286" s="96">
        <v>0.036</v>
      </c>
      <c r="O286" s="103"/>
    </row>
    <row r="287" spans="1:15" ht="12.75">
      <c r="A287" s="47">
        <v>3.93</v>
      </c>
      <c r="B287" s="55">
        <f t="shared" si="22"/>
        <v>5523.0188</v>
      </c>
      <c r="C287" s="50">
        <f t="shared" si="23"/>
        <v>5661.09427</v>
      </c>
      <c r="D287" s="56">
        <f t="shared" si="24"/>
        <v>15.70319999999947</v>
      </c>
      <c r="E287" s="50">
        <f t="shared" si="25"/>
        <v>12</v>
      </c>
      <c r="F287" s="50">
        <f t="shared" si="25"/>
        <v>1476</v>
      </c>
      <c r="G287" s="50">
        <f t="shared" si="25"/>
        <v>-463</v>
      </c>
      <c r="H287" s="57">
        <v>-2.295</v>
      </c>
      <c r="I287" s="57">
        <v>-0.6585</v>
      </c>
      <c r="J287" s="57">
        <v>2.0786</v>
      </c>
      <c r="K287" s="57">
        <v>8.1101</v>
      </c>
      <c r="L287" s="58">
        <v>33.065</v>
      </c>
      <c r="M287" s="95">
        <v>3.13</v>
      </c>
      <c r="N287" s="96">
        <v>0.0315</v>
      </c>
      <c r="O287" s="103"/>
    </row>
    <row r="288" spans="1:15" ht="12.75">
      <c r="A288" s="47">
        <v>3.94</v>
      </c>
      <c r="B288" s="55">
        <f t="shared" si="22"/>
        <v>5538.723199999999</v>
      </c>
      <c r="C288" s="50">
        <f t="shared" si="23"/>
        <v>5677.191279999999</v>
      </c>
      <c r="D288" s="56">
        <f t="shared" si="24"/>
        <v>15.705600000000231</v>
      </c>
      <c r="E288" s="50">
        <f t="shared" si="25"/>
        <v>12</v>
      </c>
      <c r="F288" s="50">
        <f t="shared" si="25"/>
        <v>1476</v>
      </c>
      <c r="G288" s="50">
        <f t="shared" si="25"/>
        <v>-463</v>
      </c>
      <c r="H288" s="57">
        <v>-2.29</v>
      </c>
      <c r="I288" s="57">
        <v>-0.663</v>
      </c>
      <c r="J288" s="57">
        <v>2.0838</v>
      </c>
      <c r="K288" s="57">
        <v>8.0988</v>
      </c>
      <c r="L288" s="58">
        <v>33.07</v>
      </c>
      <c r="M288" s="95">
        <v>3.14</v>
      </c>
      <c r="N288" s="96">
        <v>0.027</v>
      </c>
      <c r="O288" s="103"/>
    </row>
    <row r="289" spans="1:15" ht="12.75">
      <c r="A289" s="47">
        <v>3.95</v>
      </c>
      <c r="B289" s="55">
        <f t="shared" si="22"/>
        <v>5554.43</v>
      </c>
      <c r="C289" s="50">
        <f t="shared" si="23"/>
        <v>5693.29075</v>
      </c>
      <c r="D289" s="56">
        <f t="shared" si="24"/>
        <v>15.708000000000084</v>
      </c>
      <c r="E289" s="50">
        <f t="shared" si="25"/>
        <v>12</v>
      </c>
      <c r="F289" s="50">
        <f t="shared" si="25"/>
        <v>1476</v>
      </c>
      <c r="G289" s="50">
        <f t="shared" si="25"/>
        <v>-463</v>
      </c>
      <c r="H289" s="57">
        <v>-2.285</v>
      </c>
      <c r="I289" s="57">
        <v>-0.6675</v>
      </c>
      <c r="J289" s="57">
        <v>2.089</v>
      </c>
      <c r="K289" s="57">
        <v>8.0875</v>
      </c>
      <c r="L289" s="58">
        <v>33.075</v>
      </c>
      <c r="M289" s="95">
        <v>3.15</v>
      </c>
      <c r="N289" s="96">
        <v>0.0225</v>
      </c>
      <c r="O289" s="103"/>
    </row>
    <row r="290" spans="1:15" ht="12.75">
      <c r="A290" s="47">
        <v>3.96</v>
      </c>
      <c r="B290" s="55">
        <f t="shared" si="22"/>
        <v>5570.1392</v>
      </c>
      <c r="C290" s="50">
        <f t="shared" si="23"/>
        <v>5709.392679999999</v>
      </c>
      <c r="D290" s="56">
        <f t="shared" si="24"/>
        <v>15.710399999999936</v>
      </c>
      <c r="E290" s="50">
        <f t="shared" si="25"/>
        <v>12</v>
      </c>
      <c r="F290" s="50">
        <f t="shared" si="25"/>
        <v>1476</v>
      </c>
      <c r="G290" s="50">
        <f t="shared" si="25"/>
        <v>-463</v>
      </c>
      <c r="H290" s="57">
        <v>-2.28</v>
      </c>
      <c r="I290" s="57">
        <v>-0.672</v>
      </c>
      <c r="J290" s="57">
        <v>2.0942</v>
      </c>
      <c r="K290" s="57">
        <v>8.0762</v>
      </c>
      <c r="L290" s="58">
        <v>33.08</v>
      </c>
      <c r="M290" s="95">
        <v>3.16</v>
      </c>
      <c r="N290" s="96">
        <v>0.018</v>
      </c>
      <c r="O290" s="103"/>
    </row>
    <row r="291" spans="1:15" ht="12.75">
      <c r="A291" s="47">
        <v>3.97</v>
      </c>
      <c r="B291" s="55">
        <f t="shared" si="22"/>
        <v>5585.8508</v>
      </c>
      <c r="C291" s="50">
        <f t="shared" si="23"/>
        <v>5725.497069999999</v>
      </c>
      <c r="D291" s="56">
        <f t="shared" si="24"/>
        <v>15.712799999999788</v>
      </c>
      <c r="E291" s="50">
        <f t="shared" si="25"/>
        <v>12</v>
      </c>
      <c r="F291" s="50">
        <f t="shared" si="25"/>
        <v>1476</v>
      </c>
      <c r="G291" s="50">
        <f t="shared" si="25"/>
        <v>-463</v>
      </c>
      <c r="H291" s="57">
        <v>-2.275</v>
      </c>
      <c r="I291" s="57">
        <v>-0.6765</v>
      </c>
      <c r="J291" s="57">
        <v>2.0994</v>
      </c>
      <c r="K291" s="57">
        <v>8.0649</v>
      </c>
      <c r="L291" s="58">
        <v>33.085</v>
      </c>
      <c r="M291" s="95">
        <v>3.17</v>
      </c>
      <c r="N291" s="96">
        <v>0.0135</v>
      </c>
      <c r="O291" s="103"/>
    </row>
    <row r="292" spans="1:15" ht="12.75">
      <c r="A292" s="47">
        <v>3.98</v>
      </c>
      <c r="B292" s="55">
        <f t="shared" si="22"/>
        <v>5601.564799999999</v>
      </c>
      <c r="C292" s="50">
        <f t="shared" si="23"/>
        <v>5741.603919999999</v>
      </c>
      <c r="D292" s="56">
        <f t="shared" si="24"/>
        <v>15.715200000000095</v>
      </c>
      <c r="E292" s="50">
        <f t="shared" si="25"/>
        <v>12</v>
      </c>
      <c r="F292" s="50">
        <f t="shared" si="25"/>
        <v>1476</v>
      </c>
      <c r="G292" s="50">
        <f t="shared" si="25"/>
        <v>-463</v>
      </c>
      <c r="H292" s="57">
        <v>-2.27</v>
      </c>
      <c r="I292" s="57">
        <v>-0.681</v>
      </c>
      <c r="J292" s="57">
        <v>2.1046</v>
      </c>
      <c r="K292" s="57">
        <v>8.0536</v>
      </c>
      <c r="L292" s="58">
        <v>33.09</v>
      </c>
      <c r="M292" s="95">
        <v>3.18</v>
      </c>
      <c r="N292" s="96">
        <v>0.009</v>
      </c>
      <c r="O292" s="103"/>
    </row>
    <row r="293" spans="1:15" ht="12.75">
      <c r="A293" s="47">
        <v>3.99</v>
      </c>
      <c r="B293" s="55">
        <f t="shared" si="22"/>
        <v>5617.2812</v>
      </c>
      <c r="C293" s="50">
        <f t="shared" si="23"/>
        <v>5757.71323</v>
      </c>
      <c r="D293" s="56">
        <f t="shared" si="24"/>
        <v>15.717600000000402</v>
      </c>
      <c r="E293" s="50">
        <f t="shared" si="25"/>
        <v>12</v>
      </c>
      <c r="F293" s="50">
        <f t="shared" si="25"/>
        <v>1476</v>
      </c>
      <c r="G293" s="50">
        <f t="shared" si="25"/>
        <v>-463</v>
      </c>
      <c r="H293" s="57">
        <v>-2.265</v>
      </c>
      <c r="I293" s="57">
        <v>-0.6855</v>
      </c>
      <c r="J293" s="57">
        <v>2.1098</v>
      </c>
      <c r="K293" s="57">
        <v>8.0423</v>
      </c>
      <c r="L293" s="58">
        <v>33.095</v>
      </c>
      <c r="M293" s="95">
        <v>3.19</v>
      </c>
      <c r="N293" s="96">
        <v>0.0045</v>
      </c>
      <c r="O293" s="103"/>
    </row>
    <row r="294" spans="1:15" ht="13.5" thickBot="1">
      <c r="A294" s="48">
        <v>4</v>
      </c>
      <c r="B294" s="59">
        <f t="shared" si="22"/>
        <v>5633</v>
      </c>
      <c r="C294" s="60">
        <f t="shared" si="23"/>
        <v>5773.825</v>
      </c>
      <c r="D294" s="61">
        <f>B294-B293</f>
        <v>15.718799999999646</v>
      </c>
      <c r="E294" s="60">
        <f t="shared" si="25"/>
        <v>12</v>
      </c>
      <c r="F294" s="60">
        <f t="shared" si="25"/>
        <v>1476</v>
      </c>
      <c r="G294" s="60">
        <f t="shared" si="25"/>
        <v>-463</v>
      </c>
      <c r="H294" s="60">
        <v>-2.26</v>
      </c>
      <c r="I294" s="60">
        <v>-0.69</v>
      </c>
      <c r="J294" s="60">
        <v>2.115</v>
      </c>
      <c r="K294" s="60">
        <v>8.031</v>
      </c>
      <c r="L294" s="62">
        <v>33.1</v>
      </c>
      <c r="M294" s="95">
        <v>3.2</v>
      </c>
      <c r="N294" s="96">
        <v>0</v>
      </c>
      <c r="O294" s="103"/>
    </row>
    <row r="295" spans="13:15" ht="12.75">
      <c r="M295" s="95">
        <v>3.21</v>
      </c>
      <c r="N295" s="96">
        <v>-0.005</v>
      </c>
      <c r="O295" s="103"/>
    </row>
    <row r="296" spans="13:15" ht="12.75">
      <c r="M296" s="95">
        <v>3.22</v>
      </c>
      <c r="N296" s="96">
        <v>-0.009</v>
      </c>
      <c r="O296" s="103"/>
    </row>
    <row r="297" spans="13:15" ht="12.75">
      <c r="M297" s="95">
        <v>3.23</v>
      </c>
      <c r="N297" s="96">
        <v>-0.014</v>
      </c>
      <c r="O297" s="103"/>
    </row>
    <row r="298" spans="13:15" ht="12.75">
      <c r="M298" s="95">
        <v>3.24</v>
      </c>
      <c r="N298" s="96">
        <v>-0.018</v>
      </c>
      <c r="O298" s="103"/>
    </row>
    <row r="299" spans="13:15" ht="12.75">
      <c r="M299" s="95">
        <v>3.25</v>
      </c>
      <c r="N299" s="96">
        <v>-0.023</v>
      </c>
      <c r="O299" s="103"/>
    </row>
    <row r="300" spans="13:15" ht="12.75">
      <c r="M300" s="95">
        <v>3.26</v>
      </c>
      <c r="N300" s="96">
        <v>-0.027</v>
      </c>
      <c r="O300" s="103"/>
    </row>
    <row r="301" spans="1:15" ht="12.75">
      <c r="A301" s="126">
        <v>1</v>
      </c>
      <c r="M301" s="95">
        <v>3.27</v>
      </c>
      <c r="N301" s="96">
        <v>-0.032</v>
      </c>
      <c r="O301" s="103"/>
    </row>
    <row r="302" spans="1:15" ht="12.75">
      <c r="A302" s="126">
        <v>2</v>
      </c>
      <c r="M302" s="95">
        <v>3.28</v>
      </c>
      <c r="N302" s="96">
        <v>-0.036</v>
      </c>
      <c r="O302" s="103"/>
    </row>
    <row r="303" spans="1:15" ht="12.75">
      <c r="A303" s="126">
        <v>3</v>
      </c>
      <c r="M303" s="95">
        <v>3.29</v>
      </c>
      <c r="N303" s="96">
        <v>-0.041</v>
      </c>
      <c r="O303" s="103"/>
    </row>
    <row r="304" spans="1:15" ht="12.75">
      <c r="A304" s="126">
        <v>4</v>
      </c>
      <c r="M304" s="95">
        <v>3.3</v>
      </c>
      <c r="N304" s="96">
        <v>-0.045</v>
      </c>
      <c r="O304" s="103"/>
    </row>
    <row r="305" spans="13:15" ht="12.75">
      <c r="M305" s="95">
        <v>3.31</v>
      </c>
      <c r="N305" s="96">
        <v>-0.05</v>
      </c>
      <c r="O305" s="103"/>
    </row>
    <row r="306" spans="13:15" ht="12.75">
      <c r="M306" s="95">
        <v>3.32</v>
      </c>
      <c r="N306" s="96">
        <v>-0.054</v>
      </c>
      <c r="O306" s="103"/>
    </row>
    <row r="307" spans="13:15" ht="12.75">
      <c r="M307" s="95">
        <v>3.33</v>
      </c>
      <c r="N307" s="96">
        <v>-0.059</v>
      </c>
      <c r="O307" s="103"/>
    </row>
    <row r="308" spans="13:15" ht="12.75">
      <c r="M308" s="95">
        <v>3.34</v>
      </c>
      <c r="N308" s="96">
        <v>-0.063</v>
      </c>
      <c r="O308" s="103"/>
    </row>
    <row r="309" spans="13:15" ht="12.75">
      <c r="M309" s="95">
        <v>3.35</v>
      </c>
      <c r="N309" s="96">
        <v>-0.068</v>
      </c>
      <c r="O309" s="103"/>
    </row>
    <row r="310" spans="13:15" ht="12.75">
      <c r="M310" s="95">
        <v>3.36</v>
      </c>
      <c r="N310" s="96">
        <v>-0.072</v>
      </c>
      <c r="O310" s="103"/>
    </row>
    <row r="311" spans="13:15" ht="12.75">
      <c r="M311" s="95">
        <v>3.37</v>
      </c>
      <c r="N311" s="96">
        <v>-0.077</v>
      </c>
      <c r="O311" s="103"/>
    </row>
    <row r="312" spans="13:15" ht="12.75">
      <c r="M312" s="95">
        <v>3.38</v>
      </c>
      <c r="N312" s="96">
        <v>-0.081</v>
      </c>
      <c r="O312" s="103"/>
    </row>
    <row r="313" spans="13:15" ht="12.75">
      <c r="M313" s="95">
        <v>3.39</v>
      </c>
      <c r="N313" s="96">
        <v>-0.086</v>
      </c>
      <c r="O313" s="103"/>
    </row>
    <row r="314" spans="13:15" ht="12.75">
      <c r="M314" s="95">
        <v>3.4</v>
      </c>
      <c r="N314" s="96">
        <v>-0.09</v>
      </c>
      <c r="O314" s="103"/>
    </row>
    <row r="315" spans="13:15" ht="12.75">
      <c r="M315" s="95">
        <v>3.41</v>
      </c>
      <c r="N315" s="96">
        <v>-0.095</v>
      </c>
      <c r="O315" s="103"/>
    </row>
    <row r="316" spans="13:15" ht="12.75">
      <c r="M316" s="95">
        <v>3.42</v>
      </c>
      <c r="N316" s="96">
        <v>-0.101</v>
      </c>
      <c r="O316" s="103"/>
    </row>
    <row r="317" spans="13:15" ht="12.75">
      <c r="M317" s="95">
        <v>3.43</v>
      </c>
      <c r="N317" s="96">
        <v>-0.106</v>
      </c>
      <c r="O317" s="103"/>
    </row>
    <row r="318" spans="13:15" ht="12.75">
      <c r="M318" s="95">
        <v>3.44</v>
      </c>
      <c r="N318" s="96">
        <v>-0.111</v>
      </c>
      <c r="O318" s="103"/>
    </row>
    <row r="319" spans="13:15" ht="12.75">
      <c r="M319" s="95">
        <v>3.45</v>
      </c>
      <c r="N319" s="96">
        <v>-0.117</v>
      </c>
      <c r="O319" s="103"/>
    </row>
    <row r="320" spans="13:15" ht="12.75">
      <c r="M320" s="95">
        <v>3.46</v>
      </c>
      <c r="N320" s="96">
        <v>-0.122</v>
      </c>
      <c r="O320" s="103"/>
    </row>
    <row r="321" spans="13:15" ht="12.75">
      <c r="M321" s="95">
        <v>3.47</v>
      </c>
      <c r="N321" s="96">
        <v>-0.127</v>
      </c>
      <c r="O321" s="103"/>
    </row>
    <row r="322" spans="13:15" ht="12.75">
      <c r="M322" s="95">
        <v>3.48</v>
      </c>
      <c r="N322" s="96">
        <v>-0.132</v>
      </c>
      <c r="O322" s="103"/>
    </row>
    <row r="323" spans="13:15" ht="12.75">
      <c r="M323" s="95">
        <v>3.49</v>
      </c>
      <c r="N323" s="96">
        <v>-0.138</v>
      </c>
      <c r="O323" s="103"/>
    </row>
    <row r="324" spans="13:15" ht="13.5" thickBot="1">
      <c r="M324" s="97">
        <v>3.5</v>
      </c>
      <c r="N324" s="98">
        <v>-0.143</v>
      </c>
      <c r="O324" s="103"/>
    </row>
  </sheetData>
  <mergeCells count="28">
    <mergeCell ref="T2:T3"/>
    <mergeCell ref="Y2:Y3"/>
    <mergeCell ref="Z2:Z3"/>
    <mergeCell ref="P2:P24"/>
    <mergeCell ref="I2:I3"/>
    <mergeCell ref="J2:J3"/>
    <mergeCell ref="K2:K3"/>
    <mergeCell ref="L2:L3"/>
    <mergeCell ref="A1:N1"/>
    <mergeCell ref="A2:A3"/>
    <mergeCell ref="B2:C2"/>
    <mergeCell ref="D2:D3"/>
    <mergeCell ref="E2:E3"/>
    <mergeCell ref="M2:M3"/>
    <mergeCell ref="N2:N3"/>
    <mergeCell ref="F2:F3"/>
    <mergeCell ref="G2:G3"/>
    <mergeCell ref="H2:H3"/>
    <mergeCell ref="R1:AB1"/>
    <mergeCell ref="AC2:AC3"/>
    <mergeCell ref="AD2:AD3"/>
    <mergeCell ref="R2:R3"/>
    <mergeCell ref="AA2:AB2"/>
    <mergeCell ref="X2:X3"/>
    <mergeCell ref="W2:W3"/>
    <mergeCell ref="V2:V3"/>
    <mergeCell ref="U2:U3"/>
    <mergeCell ref="S2:S3"/>
  </mergeCells>
  <printOptions/>
  <pageMargins left="0.75" right="0.75" top="1" bottom="1" header="0.5" footer="0.5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Q64"/>
  <sheetViews>
    <sheetView workbookViewId="0" topLeftCell="A1">
      <selection activeCell="B2" sqref="B2"/>
    </sheetView>
  </sheetViews>
  <sheetFormatPr defaultColWidth="9.00390625" defaultRowHeight="12.75"/>
  <cols>
    <col min="1" max="1" width="9.125" style="257" customWidth="1"/>
    <col min="2" max="2" width="9.125" style="160" customWidth="1"/>
    <col min="3" max="3" width="10.375" style="160" customWidth="1"/>
    <col min="4" max="4" width="9.875" style="160" customWidth="1"/>
    <col min="5" max="5" width="8.25390625" style="160" customWidth="1"/>
    <col min="6" max="7" width="9.125" style="160" customWidth="1"/>
    <col min="8" max="9" width="10.00390625" style="160" customWidth="1"/>
    <col min="10" max="10" width="7.25390625" style="160" customWidth="1"/>
    <col min="11" max="11" width="9.875" style="160" customWidth="1"/>
    <col min="12" max="16384" width="9.125" style="142" customWidth="1"/>
  </cols>
  <sheetData>
    <row r="1" spans="1:11" ht="14.25">
      <c r="A1" s="140"/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s="146" customFormat="1" ht="11.25">
      <c r="A2" s="143"/>
      <c r="B2" s="143"/>
      <c r="C2" s="143"/>
      <c r="D2" s="143"/>
      <c r="E2" s="143"/>
      <c r="F2" s="143"/>
      <c r="G2" s="144"/>
      <c r="H2" s="145"/>
      <c r="I2" s="143"/>
      <c r="J2" s="143"/>
      <c r="K2" s="143"/>
    </row>
    <row r="3" spans="1:11" s="146" customFormat="1" ht="20.25">
      <c r="A3" s="143"/>
      <c r="B3" s="143"/>
      <c r="C3" s="143"/>
      <c r="D3" s="143"/>
      <c r="E3" s="143"/>
      <c r="F3" s="143"/>
      <c r="G3" s="147" t="s">
        <v>109</v>
      </c>
      <c r="H3" s="148"/>
      <c r="I3" s="149"/>
      <c r="J3" s="149"/>
      <c r="K3" s="149"/>
    </row>
    <row r="4" spans="1:11" s="146" customFormat="1" ht="7.5" customHeight="1">
      <c r="A4" s="141"/>
      <c r="B4" s="141"/>
      <c r="C4" s="141"/>
      <c r="D4" s="141"/>
      <c r="E4" s="141"/>
      <c r="F4" s="143"/>
      <c r="G4" s="144"/>
      <c r="H4" s="145"/>
      <c r="I4" s="143"/>
      <c r="J4" s="143"/>
      <c r="K4" s="143"/>
    </row>
    <row r="5" spans="1:12" s="160" customFormat="1" ht="12.75">
      <c r="A5" s="141" t="s">
        <v>110</v>
      </c>
      <c r="B5" s="150"/>
      <c r="C5" s="151" t="s">
        <v>195</v>
      </c>
      <c r="D5" s="152"/>
      <c r="E5" s="153"/>
      <c r="F5" s="152"/>
      <c r="G5" s="154" t="s">
        <v>111</v>
      </c>
      <c r="H5" s="155"/>
      <c r="I5" s="156" t="str">
        <f>'[1]DRAFT'!C1</f>
        <v>VOLGO-DON 507B</v>
      </c>
      <c r="J5" s="157"/>
      <c r="K5" s="158"/>
      <c r="L5" s="159"/>
    </row>
    <row r="6" spans="1:11" s="160" customFormat="1" ht="12.75">
      <c r="A6" s="141" t="s">
        <v>112</v>
      </c>
      <c r="B6" s="150"/>
      <c r="C6" s="151" t="s">
        <v>113</v>
      </c>
      <c r="D6" s="152"/>
      <c r="E6" s="152"/>
      <c r="F6" s="153"/>
      <c r="G6" s="141" t="s">
        <v>114</v>
      </c>
      <c r="H6" s="141"/>
      <c r="I6" s="161"/>
      <c r="J6" s="162" t="s">
        <v>115</v>
      </c>
      <c r="K6" s="163"/>
    </row>
    <row r="7" spans="1:11" s="160" customFormat="1" ht="12.75">
      <c r="A7" s="141" t="s">
        <v>117</v>
      </c>
      <c r="B7" s="141"/>
      <c r="C7" s="151"/>
      <c r="D7" s="152"/>
      <c r="E7" s="152"/>
      <c r="F7" s="152"/>
      <c r="G7" s="141" t="s">
        <v>118</v>
      </c>
      <c r="H7" s="141"/>
      <c r="I7" s="161"/>
      <c r="J7" s="162" t="s">
        <v>115</v>
      </c>
      <c r="K7" s="163"/>
    </row>
    <row r="8" spans="1:11" s="160" customFormat="1" ht="12.75">
      <c r="A8" s="141" t="s">
        <v>119</v>
      </c>
      <c r="B8" s="141"/>
      <c r="C8" s="151">
        <f>data!C19</f>
        <v>0</v>
      </c>
      <c r="D8" s="152"/>
      <c r="E8" s="153"/>
      <c r="F8" s="153"/>
      <c r="G8" s="141" t="s">
        <v>120</v>
      </c>
      <c r="H8" s="141"/>
      <c r="I8" s="161"/>
      <c r="J8" s="162" t="s">
        <v>115</v>
      </c>
      <c r="K8" s="163"/>
    </row>
    <row r="9" spans="1:11" s="160" customFormat="1" ht="12.75">
      <c r="A9" s="141"/>
      <c r="B9" s="141"/>
      <c r="C9" s="141"/>
      <c r="D9" s="141"/>
      <c r="E9" s="141"/>
      <c r="F9" s="164"/>
      <c r="G9" s="141"/>
      <c r="H9" s="141"/>
      <c r="I9" s="165"/>
      <c r="J9" s="166"/>
      <c r="K9" s="167"/>
    </row>
    <row r="10" spans="1:11" s="160" customFormat="1" ht="12.75">
      <c r="A10" s="141" t="s">
        <v>121</v>
      </c>
      <c r="B10" s="141"/>
      <c r="C10" s="141"/>
      <c r="D10" s="141"/>
      <c r="E10" s="141"/>
      <c r="F10" s="168"/>
      <c r="G10" s="141" t="s">
        <v>122</v>
      </c>
      <c r="H10" s="169"/>
      <c r="I10" s="170"/>
      <c r="J10" s="171"/>
      <c r="K10" s="172"/>
    </row>
    <row r="11" spans="1:11" s="160" customFormat="1" ht="12.75">
      <c r="A11" s="141" t="s">
        <v>123</v>
      </c>
      <c r="B11" s="141"/>
      <c r="C11" s="161">
        <v>36243</v>
      </c>
      <c r="D11" s="162" t="s">
        <v>115</v>
      </c>
      <c r="E11" s="163" t="s">
        <v>116</v>
      </c>
      <c r="F11" s="141"/>
      <c r="G11" s="141" t="s">
        <v>123</v>
      </c>
      <c r="H11" s="141"/>
      <c r="I11" s="161"/>
      <c r="J11" s="162" t="s">
        <v>115</v>
      </c>
      <c r="K11" s="163"/>
    </row>
    <row r="12" spans="1:11" s="160" customFormat="1" ht="12.75">
      <c r="A12" s="141" t="s">
        <v>124</v>
      </c>
      <c r="B12" s="141"/>
      <c r="C12" s="161">
        <v>36243</v>
      </c>
      <c r="D12" s="162" t="s">
        <v>115</v>
      </c>
      <c r="E12" s="163" t="s">
        <v>116</v>
      </c>
      <c r="F12" s="141"/>
      <c r="G12" s="141" t="s">
        <v>124</v>
      </c>
      <c r="H12" s="141"/>
      <c r="I12" s="161"/>
      <c r="J12" s="162" t="s">
        <v>115</v>
      </c>
      <c r="K12" s="163"/>
    </row>
    <row r="13" spans="1:11" s="160" customFormat="1" ht="12.75">
      <c r="A13" s="173" t="s">
        <v>125</v>
      </c>
      <c r="B13" s="174" t="s">
        <v>126</v>
      </c>
      <c r="C13" s="174"/>
      <c r="D13" s="174"/>
      <c r="E13" s="174"/>
      <c r="F13" s="175"/>
      <c r="G13" s="173" t="s">
        <v>125</v>
      </c>
      <c r="H13" s="174" t="s">
        <v>127</v>
      </c>
      <c r="I13" s="174"/>
      <c r="J13" s="174"/>
      <c r="K13" s="174"/>
    </row>
    <row r="14" spans="1:11" s="179" customFormat="1" ht="12">
      <c r="A14" s="176"/>
      <c r="B14" s="177"/>
      <c r="C14" s="177"/>
      <c r="D14" s="177"/>
      <c r="E14" s="177"/>
      <c r="F14" s="178"/>
      <c r="G14" s="176"/>
      <c r="H14" s="177"/>
      <c r="I14" s="177"/>
      <c r="J14" s="177"/>
      <c r="K14" s="177"/>
    </row>
    <row r="15" spans="1:11" s="184" customFormat="1" ht="9.75">
      <c r="A15" s="180"/>
      <c r="B15" s="180"/>
      <c r="C15" s="181" t="s">
        <v>128</v>
      </c>
      <c r="D15" s="182" t="s">
        <v>129</v>
      </c>
      <c r="E15" s="180"/>
      <c r="F15" s="180"/>
      <c r="G15" s="183"/>
      <c r="H15" s="180"/>
      <c r="I15" s="180"/>
      <c r="J15" s="180"/>
      <c r="K15" s="180"/>
    </row>
    <row r="16" spans="1:11" s="179" customFormat="1" ht="12">
      <c r="A16" s="185" t="s">
        <v>130</v>
      </c>
      <c r="B16" s="185"/>
      <c r="C16" s="186">
        <f>'[1]DRAFT'!C11</f>
        <v>0.69</v>
      </c>
      <c r="D16" s="187">
        <f>'[1]DRAFT'!D11</f>
        <v>1.73</v>
      </c>
      <c r="E16" s="188"/>
      <c r="F16" s="189" t="s">
        <v>131</v>
      </c>
      <c r="G16" s="190" t="s">
        <v>3</v>
      </c>
      <c r="H16" s="190"/>
      <c r="I16" s="191">
        <f>'[1]DRAFT'!C2</f>
        <v>135</v>
      </c>
      <c r="J16" s="192"/>
      <c r="K16" s="191">
        <f>'[1]DRAFT'!D2</f>
        <v>16.5</v>
      </c>
    </row>
    <row r="17" spans="1:11" s="179" customFormat="1" ht="12">
      <c r="A17" s="185" t="s">
        <v>132</v>
      </c>
      <c r="B17" s="185"/>
      <c r="C17" s="186" t="e">
        <f>'[2]C19'!C12</f>
        <v>#REF!</v>
      </c>
      <c r="D17" s="187">
        <f>'[1]DRAFT'!D12</f>
        <v>1.73</v>
      </c>
      <c r="E17" s="188"/>
      <c r="F17" s="193" t="s">
        <v>133</v>
      </c>
      <c r="G17" s="190"/>
      <c r="H17" s="194"/>
      <c r="I17" s="195" t="e">
        <f>C23-C18</f>
        <v>#REF!</v>
      </c>
      <c r="J17" s="196"/>
      <c r="K17" s="195">
        <f>D23-D18</f>
        <v>1.5100000000000002</v>
      </c>
    </row>
    <row r="18" spans="1:11" s="179" customFormat="1" ht="12">
      <c r="A18" s="185" t="s">
        <v>134</v>
      </c>
      <c r="B18" s="185"/>
      <c r="C18" s="197" t="e">
        <f>(C16+C17)/2</f>
        <v>#REF!</v>
      </c>
      <c r="D18" s="198">
        <f>(D16+D17)/2</f>
        <v>1.73</v>
      </c>
      <c r="E18" s="188"/>
      <c r="F18" s="199" t="s">
        <v>135</v>
      </c>
      <c r="G18" s="188"/>
      <c r="H18" s="188"/>
      <c r="I18" s="195" t="e">
        <f>C25-C20</f>
        <v>#REF!</v>
      </c>
      <c r="J18" s="200"/>
      <c r="K18" s="195">
        <f>D25-D20</f>
        <v>1.8892493049119556</v>
      </c>
    </row>
    <row r="19" spans="1:11" s="179" customFormat="1" ht="12">
      <c r="A19" s="185" t="s">
        <v>136</v>
      </c>
      <c r="B19" s="185"/>
      <c r="C19" s="201" t="e">
        <f>I17*I19/(I16-(I19+I20))</f>
        <v>#REF!</v>
      </c>
      <c r="D19" s="202">
        <f>K17*K19/(I16-(K19+K20))</f>
        <v>0.29808155699721967</v>
      </c>
      <c r="E19" s="188"/>
      <c r="F19" s="199" t="s">
        <v>137</v>
      </c>
      <c r="G19" s="188"/>
      <c r="H19" s="188"/>
      <c r="I19" s="203">
        <f>'[1]DRAFT'!C7</f>
        <v>21.3</v>
      </c>
      <c r="J19" s="204"/>
      <c r="K19" s="203">
        <f>'[1]DRAFT'!D7</f>
        <v>21.3</v>
      </c>
    </row>
    <row r="20" spans="1:11" s="179" customFormat="1" ht="12">
      <c r="A20" s="196" t="s">
        <v>138</v>
      </c>
      <c r="B20" s="205"/>
      <c r="C20" s="206" t="e">
        <f>C18-C19</f>
        <v>#REF!</v>
      </c>
      <c r="D20" s="207">
        <f>D18-D19</f>
        <v>1.4319184430027803</v>
      </c>
      <c r="E20" s="188"/>
      <c r="F20" s="199" t="s">
        <v>139</v>
      </c>
      <c r="G20" s="188"/>
      <c r="H20" s="188"/>
      <c r="I20" s="203">
        <f>'[1]DRAFT'!C8</f>
        <v>5.8</v>
      </c>
      <c r="J20" s="204"/>
      <c r="K20" s="203">
        <f>'[1]DRAFT'!D8</f>
        <v>5.8</v>
      </c>
    </row>
    <row r="21" spans="1:11" s="179" customFormat="1" ht="12">
      <c r="A21" s="185" t="s">
        <v>140</v>
      </c>
      <c r="B21" s="188"/>
      <c r="C21" s="186">
        <f>'[1]DRAFT'!C13</f>
        <v>3.04</v>
      </c>
      <c r="D21" s="187">
        <f>'[1]DRAFT'!D13</f>
        <v>3.26</v>
      </c>
      <c r="E21" s="188"/>
      <c r="F21" s="199" t="s">
        <v>141</v>
      </c>
      <c r="G21" s="188"/>
      <c r="H21" s="188"/>
      <c r="I21" s="203">
        <f>'[1]DRAFT'!C9</f>
        <v>0</v>
      </c>
      <c r="J21" s="204"/>
      <c r="K21" s="203">
        <f>'[1]DRAFT'!D9</f>
        <v>0</v>
      </c>
    </row>
    <row r="22" spans="1:11" s="179" customFormat="1" ht="12">
      <c r="A22" s="185" t="s">
        <v>142</v>
      </c>
      <c r="B22" s="188"/>
      <c r="C22" s="186">
        <f>'[1]DRAFT'!C14</f>
        <v>2.95</v>
      </c>
      <c r="D22" s="187">
        <f>'[1]DRAFT'!D14</f>
        <v>3.22</v>
      </c>
      <c r="E22" s="188"/>
      <c r="F22" s="199" t="s">
        <v>36</v>
      </c>
      <c r="G22" s="188"/>
      <c r="H22" s="188"/>
      <c r="I22" s="203">
        <f>'[1]DRAFT'!G7</f>
        <v>19.3904</v>
      </c>
      <c r="J22" s="204"/>
      <c r="K22" s="203">
        <f>'[1]DRAFT'!H7</f>
        <v>20.1</v>
      </c>
    </row>
    <row r="23" spans="1:11" s="179" customFormat="1" ht="12">
      <c r="A23" s="185" t="s">
        <v>143</v>
      </c>
      <c r="B23" s="205"/>
      <c r="C23" s="197">
        <f>(C21+C22)/2</f>
        <v>2.995</v>
      </c>
      <c r="D23" s="198">
        <f>(D21+D22)/2</f>
        <v>3.24</v>
      </c>
      <c r="E23" s="188"/>
      <c r="F23" s="193" t="s">
        <v>144</v>
      </c>
      <c r="G23" s="190"/>
      <c r="H23" s="190"/>
      <c r="I23" s="203">
        <f>'[1]DRAFT'!G9</f>
        <v>19.96</v>
      </c>
      <c r="J23" s="208"/>
      <c r="K23" s="203">
        <f>'[1]DRAFT'!H9</f>
        <v>20.6</v>
      </c>
    </row>
    <row r="24" spans="1:11" s="179" customFormat="1" ht="12">
      <c r="A24" s="185" t="s">
        <v>145</v>
      </c>
      <c r="B24" s="205"/>
      <c r="C24" s="201" t="e">
        <f>I17*I20/(I16-(I19+I20))</f>
        <v>#REF!</v>
      </c>
      <c r="D24" s="202">
        <f>K17*K20/(I16-(K19+K20))</f>
        <v>0.08116774791473587</v>
      </c>
      <c r="E24" s="188"/>
      <c r="F24" s="193" t="s">
        <v>146</v>
      </c>
      <c r="G24" s="190"/>
      <c r="H24" s="190"/>
      <c r="I24" s="203">
        <f>'[1]DRAFT'!G10</f>
        <v>18.7646</v>
      </c>
      <c r="J24" s="208"/>
      <c r="K24" s="203">
        <f>'[1]DRAFT'!H10</f>
        <v>19.564</v>
      </c>
    </row>
    <row r="25" spans="1:11" s="179" customFormat="1" ht="12">
      <c r="A25" s="196" t="s">
        <v>147</v>
      </c>
      <c r="B25" s="205"/>
      <c r="C25" s="206" t="e">
        <f>C23+C24</f>
        <v>#REF!</v>
      </c>
      <c r="D25" s="207">
        <f>D23+D24</f>
        <v>3.321167747914736</v>
      </c>
      <c r="E25" s="188"/>
      <c r="F25" s="193" t="s">
        <v>148</v>
      </c>
      <c r="G25" s="188"/>
      <c r="H25" s="209"/>
      <c r="I25" s="203">
        <f>'[1]DRAFT'!G8</f>
        <v>0.0020000000000000018</v>
      </c>
      <c r="J25" s="204"/>
      <c r="K25" s="203">
        <f>'[1]DRAFT'!H8</f>
        <v>0.973</v>
      </c>
    </row>
    <row r="26" spans="1:11" s="179" customFormat="1" ht="12">
      <c r="A26" s="188" t="s">
        <v>149</v>
      </c>
      <c r="B26" s="188"/>
      <c r="C26" s="201" t="e">
        <f>(C25+C20)/2</f>
        <v>#REF!</v>
      </c>
      <c r="D26" s="202">
        <f>(D25+D20)/2</f>
        <v>2.376543095458758</v>
      </c>
      <c r="E26" s="188"/>
      <c r="F26" s="193" t="s">
        <v>150</v>
      </c>
      <c r="G26" s="188"/>
      <c r="H26" s="209"/>
      <c r="I26" s="195">
        <f>(7.2*(TPC1h*TPC1h-TPC2h*TPC2h))/K16</f>
        <v>20.19987789381817</v>
      </c>
      <c r="J26" s="204"/>
      <c r="K26" s="195">
        <f>(7.2*(TPC1e*TPC1e-TPC2e*TPC2e))/K16</f>
        <v>18.157049018181855</v>
      </c>
    </row>
    <row r="27" spans="1:11" s="179" customFormat="1" ht="12">
      <c r="A27" s="185" t="s">
        <v>151</v>
      </c>
      <c r="B27" s="185"/>
      <c r="C27" s="186">
        <f>'[1]DRAFT'!C15</f>
        <v>1.77</v>
      </c>
      <c r="D27" s="187">
        <f>'[1]DRAFT'!D15</f>
        <v>2.37</v>
      </c>
      <c r="E27" s="188"/>
      <c r="F27" s="193" t="s">
        <v>152</v>
      </c>
      <c r="G27" s="190"/>
      <c r="H27" s="190"/>
      <c r="I27" s="195" t="e">
        <f>(ATr_h*TPC_h*LCF_h*100)/I16</f>
        <v>#REF!</v>
      </c>
      <c r="J27" s="196"/>
      <c r="K27" s="210">
        <f>(ATr_e*TPC_e*LCF_e*100)/I16</f>
        <v>27.36934476367007</v>
      </c>
    </row>
    <row r="28" spans="1:11" s="179" customFormat="1" ht="12">
      <c r="A28" s="185" t="s">
        <v>153</v>
      </c>
      <c r="B28" s="185"/>
      <c r="C28" s="186">
        <f>'[1]DRAFT'!C16</f>
        <v>1.66</v>
      </c>
      <c r="D28" s="187">
        <f>'[1]DRAFT'!D16</f>
        <v>2.32</v>
      </c>
      <c r="E28" s="188"/>
      <c r="F28" s="193" t="s">
        <v>154</v>
      </c>
      <c r="G28" s="190"/>
      <c r="H28" s="190"/>
      <c r="I28" s="195" t="e">
        <f>ATr_h*ATr_h*50*DM_h/I16</f>
        <v>#REF!</v>
      </c>
      <c r="J28" s="211"/>
      <c r="K28" s="210">
        <f>ATr_e*ATr_e*50*DM_e/I16</f>
        <v>24.002697070272053</v>
      </c>
    </row>
    <row r="29" spans="1:11" s="179" customFormat="1" ht="12.75">
      <c r="A29" s="185" t="s">
        <v>155</v>
      </c>
      <c r="B29" s="185"/>
      <c r="C29" s="197">
        <f>(C27+C28)/2</f>
        <v>1.7149999999999999</v>
      </c>
      <c r="D29" s="198">
        <f>(D27+D28)/2</f>
        <v>2.3449999999999998</v>
      </c>
      <c r="E29" s="188"/>
      <c r="F29" s="212"/>
      <c r="G29" s="212"/>
      <c r="H29" s="212"/>
      <c r="I29" s="212"/>
      <c r="J29" s="212"/>
      <c r="K29" s="212"/>
    </row>
    <row r="30" spans="1:11" s="179" customFormat="1" ht="12">
      <c r="A30" s="185" t="s">
        <v>156</v>
      </c>
      <c r="B30" s="185"/>
      <c r="C30" s="201" t="e">
        <f>I17*I21/(I16-(I19+I20))</f>
        <v>#REF!</v>
      </c>
      <c r="D30" s="202">
        <f>K17*K21/(I16-(K19+K20))</f>
        <v>0</v>
      </c>
      <c r="E30" s="188"/>
      <c r="F30" s="188" t="s">
        <v>157</v>
      </c>
      <c r="G30" s="188"/>
      <c r="H30" s="188"/>
      <c r="I30" s="213">
        <f>'[1]DRAFT'!G6</f>
        <v>3143.2</v>
      </c>
      <c r="J30" s="214"/>
      <c r="K30" s="213">
        <f>'[1]DRAFT'!H6</f>
        <v>4400</v>
      </c>
    </row>
    <row r="31" spans="1:11" s="179" customFormat="1" ht="12">
      <c r="A31" s="196" t="s">
        <v>158</v>
      </c>
      <c r="B31" s="205"/>
      <c r="C31" s="206" t="e">
        <f>C29+C30</f>
        <v>#REF!</v>
      </c>
      <c r="D31" s="207">
        <f>D29+D30</f>
        <v>2.3449999999999998</v>
      </c>
      <c r="E31" s="188"/>
      <c r="F31" s="209" t="s">
        <v>159</v>
      </c>
      <c r="G31" s="188"/>
      <c r="H31" s="209"/>
      <c r="I31" s="195" t="e">
        <f>I27+I28</f>
        <v>#REF!</v>
      </c>
      <c r="J31" s="204"/>
      <c r="K31" s="195">
        <f>K27+K28</f>
        <v>51.37204183394212</v>
      </c>
    </row>
    <row r="32" spans="1:11" s="179" customFormat="1" ht="12">
      <c r="A32" s="188" t="s">
        <v>160</v>
      </c>
      <c r="B32" s="188"/>
      <c r="C32" s="201" t="e">
        <f>C26-C31</f>
        <v>#REF!</v>
      </c>
      <c r="D32" s="202">
        <f>D26-D31</f>
        <v>0.03154309545875833</v>
      </c>
      <c r="E32" s="188"/>
      <c r="F32" s="209" t="s">
        <v>161</v>
      </c>
      <c r="G32" s="188"/>
      <c r="H32" s="209"/>
      <c r="I32" s="213" t="e">
        <f>I30+I31</f>
        <v>#REF!</v>
      </c>
      <c r="J32" s="214"/>
      <c r="K32" s="213">
        <f>K30+K31</f>
        <v>4451.372041833942</v>
      </c>
    </row>
    <row r="33" spans="1:11" s="179" customFormat="1" ht="12">
      <c r="A33" s="205" t="s">
        <v>162</v>
      </c>
      <c r="B33" s="205"/>
      <c r="C33" s="215" t="e">
        <f>(C31*6+C20+C25)/8</f>
        <v>#REF!</v>
      </c>
      <c r="D33" s="216">
        <f>(D31*6+D20+D25)/8</f>
        <v>2.3528857738646893</v>
      </c>
      <c r="E33" s="188"/>
      <c r="F33" s="209" t="s">
        <v>163</v>
      </c>
      <c r="G33" s="188"/>
      <c r="H33" s="209"/>
      <c r="I33" s="195">
        <f>6*(C27-C28)*(TPC1h-TPC2h)</f>
        <v>0.7889640000000002</v>
      </c>
      <c r="J33" s="204"/>
      <c r="K33" s="210">
        <f>6*(D27-D28)*(TPC1e-TPC2e)</f>
        <v>0.3108000000000021</v>
      </c>
    </row>
    <row r="34" spans="1:11" s="179" customFormat="1" ht="12">
      <c r="A34" s="188"/>
      <c r="B34" s="188"/>
      <c r="C34" s="209"/>
      <c r="D34" s="209"/>
      <c r="E34" s="188"/>
      <c r="F34" s="209" t="s">
        <v>164</v>
      </c>
      <c r="G34" s="188"/>
      <c r="H34" s="209"/>
      <c r="I34" s="213" t="e">
        <f>I32+I33</f>
        <v>#REF!</v>
      </c>
      <c r="J34" s="214"/>
      <c r="K34" s="213">
        <f>K32+K33</f>
        <v>4451.682841833942</v>
      </c>
    </row>
    <row r="35" spans="1:11" s="179" customFormat="1" ht="12">
      <c r="A35" s="217" t="s">
        <v>165</v>
      </c>
      <c r="B35" s="218"/>
      <c r="C35" s="219">
        <f>'[1]DRAFT'!G11</f>
        <v>44</v>
      </c>
      <c r="D35" s="220">
        <f>'[1]DRAFT'!H11</f>
        <v>40</v>
      </c>
      <c r="E35" s="188"/>
      <c r="F35" s="209" t="s">
        <v>29</v>
      </c>
      <c r="G35" s="188"/>
      <c r="H35" s="209"/>
      <c r="I35" s="203" t="str">
        <f>'[1]DRAFT'!C10</f>
        <v>1.005</v>
      </c>
      <c r="J35" s="204"/>
      <c r="K35" s="203" t="str">
        <f>'[1]DRAFT'!D10</f>
        <v>1.005</v>
      </c>
    </row>
    <row r="36" spans="1:11" s="179" customFormat="1" ht="12">
      <c r="A36" s="217" t="s">
        <v>166</v>
      </c>
      <c r="B36" s="218"/>
      <c r="C36" s="219">
        <f>'[1]DRAFT'!G12</f>
        <v>31.9</v>
      </c>
      <c r="D36" s="220">
        <f>'[1]DRAFT'!H12</f>
        <v>30.7</v>
      </c>
      <c r="E36" s="188"/>
      <c r="F36" s="209" t="s">
        <v>167</v>
      </c>
      <c r="G36" s="188"/>
      <c r="H36" s="209"/>
      <c r="I36" s="195" t="e">
        <f>I37-I34</f>
        <v>#REF!</v>
      </c>
      <c r="J36" s="204"/>
      <c r="K36" s="195" t="e">
        <f>K37-K34</f>
        <v>#VALUE!</v>
      </c>
    </row>
    <row r="37" spans="1:11" s="179" customFormat="1" ht="12">
      <c r="A37" s="217" t="s">
        <v>168</v>
      </c>
      <c r="B37" s="221"/>
      <c r="C37" s="219">
        <f>'[1]DRAFT'!G13</f>
        <v>1</v>
      </c>
      <c r="D37" s="220">
        <f>'[1]DRAFT'!H13</f>
        <v>1</v>
      </c>
      <c r="E37" s="188"/>
      <c r="F37" s="209" t="s">
        <v>161</v>
      </c>
      <c r="G37" s="188"/>
      <c r="H37" s="209"/>
      <c r="I37" s="213" t="e">
        <f>I34*I35</f>
        <v>#REF!</v>
      </c>
      <c r="J37" s="214"/>
      <c r="K37" s="213" t="e">
        <f>K34*K35</f>
        <v>#VALUE!</v>
      </c>
    </row>
    <row r="38" spans="1:11" s="179" customFormat="1" ht="12">
      <c r="A38" s="217" t="s">
        <v>169</v>
      </c>
      <c r="B38" s="218"/>
      <c r="C38" s="219">
        <f>'[1]DRAFT'!G14</f>
        <v>5</v>
      </c>
      <c r="D38" s="220">
        <f>'[1]DRAFT'!H14</f>
        <v>10.5</v>
      </c>
      <c r="E38" s="190"/>
      <c r="F38" s="209" t="s">
        <v>170</v>
      </c>
      <c r="G38" s="188"/>
      <c r="H38" s="209"/>
      <c r="I38" s="195">
        <f>C40</f>
        <v>1454.6041300000002</v>
      </c>
      <c r="J38" s="204"/>
      <c r="K38" s="195">
        <f>D40</f>
        <v>102.0869</v>
      </c>
    </row>
    <row r="39" spans="1:11" s="179" customFormat="1" ht="12.75">
      <c r="A39" s="217" t="s">
        <v>171</v>
      </c>
      <c r="B39" s="218"/>
      <c r="C39" s="219">
        <f>'[1]DRAFT'!G15</f>
        <v>1372.70413</v>
      </c>
      <c r="D39" s="220">
        <f>'[1]DRAFT'!H15</f>
        <v>19.8869</v>
      </c>
      <c r="E39" s="190"/>
      <c r="F39" s="212"/>
      <c r="G39" s="212"/>
      <c r="H39" s="212"/>
      <c r="I39" s="212"/>
      <c r="J39" s="212"/>
      <c r="K39" s="212"/>
    </row>
    <row r="40" spans="1:11" s="179" customFormat="1" ht="12">
      <c r="A40" s="222" t="s">
        <v>172</v>
      </c>
      <c r="B40" s="190"/>
      <c r="C40" s="223">
        <f>'[1]DRAFT'!G16</f>
        <v>1454.6041300000002</v>
      </c>
      <c r="D40" s="224">
        <f>'[1]DRAFT'!H16</f>
        <v>102.0869</v>
      </c>
      <c r="E40" s="190"/>
      <c r="F40" s="225" t="s">
        <v>173</v>
      </c>
      <c r="G40" s="188"/>
      <c r="H40" s="225"/>
      <c r="I40" s="226" t="e">
        <f>I37-I38</f>
        <v>#REF!</v>
      </c>
      <c r="J40" s="227"/>
      <c r="K40" s="226" t="e">
        <f>K37-K38</f>
        <v>#VALUE!</v>
      </c>
    </row>
    <row r="41" spans="1:17" s="179" customFormat="1" ht="12.75">
      <c r="A41" s="212"/>
      <c r="B41" s="212"/>
      <c r="C41" s="212"/>
      <c r="D41" s="212"/>
      <c r="E41" s="190"/>
      <c r="F41" s="212"/>
      <c r="G41" s="212"/>
      <c r="H41" s="212"/>
      <c r="I41" s="212"/>
      <c r="J41" s="212"/>
      <c r="K41" s="212"/>
      <c r="L41" s="228"/>
      <c r="M41" s="228"/>
      <c r="N41" s="228"/>
      <c r="O41" s="228"/>
      <c r="P41" s="228"/>
      <c r="Q41" s="228"/>
    </row>
    <row r="42" spans="1:11" s="146" customFormat="1" ht="11.25">
      <c r="A42" s="229" t="s">
        <v>174</v>
      </c>
      <c r="B42" s="230"/>
      <c r="C42" s="231" t="s">
        <v>175</v>
      </c>
      <c r="D42" s="232"/>
      <c r="E42" s="143"/>
      <c r="F42" s="143"/>
      <c r="G42" s="143"/>
      <c r="H42" s="229" t="s">
        <v>174</v>
      </c>
      <c r="I42" s="230"/>
      <c r="J42" s="231" t="s">
        <v>176</v>
      </c>
      <c r="K42" s="232"/>
    </row>
    <row r="43" spans="1:11" s="146" customFormat="1" ht="11.25">
      <c r="A43" s="233" t="s">
        <v>177</v>
      </c>
      <c r="B43" s="234"/>
      <c r="C43" s="235" t="s">
        <v>178</v>
      </c>
      <c r="D43" s="236"/>
      <c r="E43" s="143"/>
      <c r="F43" s="143"/>
      <c r="G43" s="143"/>
      <c r="H43" s="233" t="s">
        <v>177</v>
      </c>
      <c r="I43" s="234"/>
      <c r="J43" s="235" t="s">
        <v>178</v>
      </c>
      <c r="K43" s="236"/>
    </row>
    <row r="44" spans="1:11" s="146" customFormat="1" ht="11.25">
      <c r="A44" s="237" t="s">
        <v>179</v>
      </c>
      <c r="B44" s="238" t="s">
        <v>180</v>
      </c>
      <c r="C44" s="239" t="s">
        <v>181</v>
      </c>
      <c r="D44" s="240" t="s">
        <v>182</v>
      </c>
      <c r="E44" s="143"/>
      <c r="F44" s="143"/>
      <c r="G44" s="143"/>
      <c r="H44" s="237" t="s">
        <v>179</v>
      </c>
      <c r="I44" s="238" t="s">
        <v>180</v>
      </c>
      <c r="J44" s="239" t="s">
        <v>181</v>
      </c>
      <c r="K44" s="240" t="s">
        <v>182</v>
      </c>
    </row>
    <row r="45" spans="1:11" s="146" customFormat="1" ht="11.25">
      <c r="A45" s="241"/>
      <c r="B45" s="242" t="s">
        <v>183</v>
      </c>
      <c r="C45" s="243" t="s">
        <v>184</v>
      </c>
      <c r="D45" s="244" t="s">
        <v>185</v>
      </c>
      <c r="E45" s="143"/>
      <c r="F45" s="143"/>
      <c r="G45" s="143"/>
      <c r="H45" s="241"/>
      <c r="I45" s="242" t="s">
        <v>183</v>
      </c>
      <c r="J45" s="243" t="s">
        <v>184</v>
      </c>
      <c r="K45" s="244" t="s">
        <v>185</v>
      </c>
    </row>
    <row r="46" spans="1:11" s="146" customFormat="1" ht="11.25">
      <c r="A46" s="245" t="s">
        <v>186</v>
      </c>
      <c r="B46" s="246">
        <f>'[1]BALLAST'!C4</f>
        <v>0.11</v>
      </c>
      <c r="C46" s="246">
        <f>'[1]BALLAST'!E4</f>
        <v>0.75</v>
      </c>
      <c r="D46" s="246">
        <f>'[1]BALLAST'!F4</f>
        <v>0.7575000000000001</v>
      </c>
      <c r="E46" s="143"/>
      <c r="F46" s="143"/>
      <c r="G46" s="143"/>
      <c r="H46" s="245" t="s">
        <v>186</v>
      </c>
      <c r="I46" s="246">
        <f>'[1]BALLAST'!I4</f>
        <v>0.05</v>
      </c>
      <c r="J46" s="246">
        <f>'[1]BALLAST'!K4</f>
        <v>0.15</v>
      </c>
      <c r="K46" s="246">
        <f>'[1]BALLAST'!L4</f>
        <v>0.1515</v>
      </c>
    </row>
    <row r="47" spans="1:11" s="146" customFormat="1" ht="11.25">
      <c r="A47" s="247">
        <v>1</v>
      </c>
      <c r="B47" s="246">
        <f>'[1]BALLAST'!C5</f>
        <v>0.09</v>
      </c>
      <c r="C47" s="246">
        <f>'[1]BALLAST'!E5</f>
        <v>0</v>
      </c>
      <c r="D47" s="246">
        <f>'[1]BALLAST'!F5</f>
        <v>0</v>
      </c>
      <c r="E47" s="143"/>
      <c r="F47" s="143"/>
      <c r="G47" s="143"/>
      <c r="H47" s="247">
        <v>1</v>
      </c>
      <c r="I47" s="246">
        <f>'[1]BALLAST'!I5</f>
        <v>0.02</v>
      </c>
      <c r="J47" s="246">
        <f>'[1]BALLAST'!K5</f>
        <v>0</v>
      </c>
      <c r="K47" s="246">
        <f>'[1]BALLAST'!L5</f>
        <v>0</v>
      </c>
    </row>
    <row r="48" spans="1:11" s="146" customFormat="1" ht="11.25">
      <c r="A48" s="247">
        <v>2</v>
      </c>
      <c r="B48" s="246">
        <f>'[1]BALLAST'!C6</f>
        <v>0.42</v>
      </c>
      <c r="C48" s="246">
        <f>'[1]BALLAST'!E6</f>
        <v>25.812</v>
      </c>
      <c r="D48" s="246">
        <f>'[1]BALLAST'!F6</f>
        <v>26.070120000000003</v>
      </c>
      <c r="E48" s="143"/>
      <c r="F48" s="143"/>
      <c r="G48" s="143"/>
      <c r="H48" s="247">
        <v>2</v>
      </c>
      <c r="I48" s="246">
        <f>'[1]BALLAST'!I6</f>
        <v>0.04</v>
      </c>
      <c r="J48" s="246">
        <f>'[1]BALLAST'!K6</f>
        <v>1.82</v>
      </c>
      <c r="K48" s="246">
        <f>'[1]BALLAST'!L6</f>
        <v>1.8382</v>
      </c>
    </row>
    <row r="49" spans="1:11" s="146" customFormat="1" ht="11.25">
      <c r="A49" s="247">
        <v>3</v>
      </c>
      <c r="B49" s="246">
        <f>'[1]BALLAST'!C7</f>
        <v>0.36</v>
      </c>
      <c r="C49" s="246">
        <f>'[1]BALLAST'!E7</f>
        <v>18.573999999999998</v>
      </c>
      <c r="D49" s="246">
        <f>'[1]BALLAST'!F7</f>
        <v>18.759739999999997</v>
      </c>
      <c r="E49" s="143"/>
      <c r="F49" s="143"/>
      <c r="G49" s="143"/>
      <c r="H49" s="247">
        <v>3</v>
      </c>
      <c r="I49" s="246">
        <f>'[1]BALLAST'!I7</f>
        <v>0.01</v>
      </c>
      <c r="J49" s="246">
        <f>'[1]BALLAST'!K7</f>
        <v>1.82</v>
      </c>
      <c r="K49" s="246">
        <f>'[1]BALLAST'!L7</f>
        <v>1.8382</v>
      </c>
    </row>
    <row r="50" spans="1:11" s="146" customFormat="1" ht="11.25">
      <c r="A50" s="247">
        <v>4</v>
      </c>
      <c r="B50" s="246">
        <f>'[1]BALLAST'!C8</f>
        <v>0.1</v>
      </c>
      <c r="C50" s="246">
        <f>'[1]BALLAST'!E8</f>
        <v>2.39</v>
      </c>
      <c r="D50" s="246">
        <f>'[1]BALLAST'!F8</f>
        <v>2.4139</v>
      </c>
      <c r="E50" s="143"/>
      <c r="F50" s="143"/>
      <c r="G50" s="143"/>
      <c r="H50" s="247">
        <v>4</v>
      </c>
      <c r="I50" s="246">
        <f>'[1]BALLAST'!I8</f>
        <v>0.03</v>
      </c>
      <c r="J50" s="246">
        <f>'[1]BALLAST'!K8</f>
        <v>2.39</v>
      </c>
      <c r="K50" s="246">
        <f>'[1]BALLAST'!L8</f>
        <v>2.4139</v>
      </c>
    </row>
    <row r="51" spans="1:11" s="146" customFormat="1" ht="11.25">
      <c r="A51" s="247">
        <v>5</v>
      </c>
      <c r="B51" s="246">
        <f>'[1]BALLAST'!C9</f>
        <v>2.18</v>
      </c>
      <c r="C51" s="246">
        <f>'[1]BALLAST'!E9</f>
        <v>191.17</v>
      </c>
      <c r="D51" s="246">
        <f>'[1]BALLAST'!F9</f>
        <v>193.08169999999998</v>
      </c>
      <c r="E51" s="143"/>
      <c r="F51" s="143"/>
      <c r="G51" s="143"/>
      <c r="H51" s="247">
        <v>5</v>
      </c>
      <c r="I51" s="246">
        <f>'[1]BALLAST'!I9</f>
        <v>0.03</v>
      </c>
      <c r="J51" s="246">
        <f>'[1]BALLAST'!K9</f>
        <v>2.39</v>
      </c>
      <c r="K51" s="246">
        <f>'[1]BALLAST'!L9</f>
        <v>2.4139</v>
      </c>
    </row>
    <row r="52" spans="1:11" s="146" customFormat="1" ht="11.25">
      <c r="A52" s="247">
        <v>6</v>
      </c>
      <c r="B52" s="246">
        <f>'[1]BALLAST'!C10</f>
        <v>3.71</v>
      </c>
      <c r="C52" s="246">
        <f>'[1]BALLAST'!E10</f>
        <v>582.299</v>
      </c>
      <c r="D52" s="246">
        <f>'[1]BALLAST'!F10</f>
        <v>588.12199</v>
      </c>
      <c r="E52" s="143"/>
      <c r="F52" s="143"/>
      <c r="G52" s="143"/>
      <c r="H52" s="247">
        <v>6</v>
      </c>
      <c r="I52" s="246">
        <f>'[1]BALLAST'!I10</f>
        <v>0.03</v>
      </c>
      <c r="J52" s="246">
        <f>'[1]BALLAST'!K10</f>
        <v>5.56</v>
      </c>
      <c r="K52" s="246">
        <f>'[1]BALLAST'!L10</f>
        <v>5.6156</v>
      </c>
    </row>
    <row r="53" spans="1:11" s="146" customFormat="1" ht="11.25">
      <c r="A53" s="247">
        <v>7</v>
      </c>
      <c r="B53" s="246">
        <f>'[1]BALLAST'!C11</f>
        <v>3.24</v>
      </c>
      <c r="C53" s="246">
        <f>'[1]BALLAST'!E11</f>
        <v>538.118</v>
      </c>
      <c r="D53" s="246">
        <f>'[1]BALLAST'!F11</f>
        <v>543.49918</v>
      </c>
      <c r="E53" s="143"/>
      <c r="F53" s="143"/>
      <c r="G53" s="143"/>
      <c r="H53" s="247">
        <v>7</v>
      </c>
      <c r="I53" s="246">
        <f>'[1]BALLAST'!I11</f>
        <v>0</v>
      </c>
      <c r="J53" s="246">
        <f>'[1]BALLAST'!K11</f>
        <v>5.56</v>
      </c>
      <c r="K53" s="246">
        <f>'[1]BALLAST'!L11</f>
        <v>5.6156</v>
      </c>
    </row>
    <row r="54" spans="1:11" s="146" customFormat="1" ht="11.25">
      <c r="A54" s="247">
        <v>8</v>
      </c>
      <c r="B54" s="246">
        <f>'[1]BALLAST'!C12</f>
        <v>3.15</v>
      </c>
      <c r="C54" s="246">
        <f>'[1]BALLAST'!E12</f>
        <v>0</v>
      </c>
      <c r="D54" s="246">
        <f>'[1]BALLAST'!F12</f>
        <v>0</v>
      </c>
      <c r="E54" s="143"/>
      <c r="F54" s="143"/>
      <c r="G54" s="143"/>
      <c r="H54" s="247">
        <v>8</v>
      </c>
      <c r="I54" s="246">
        <f>'[1]BALLAST'!I12</f>
        <v>0</v>
      </c>
      <c r="J54" s="246">
        <f>'[1]BALLAST'!K12</f>
        <v>0</v>
      </c>
      <c r="K54" s="246">
        <f>'[1]BALLAST'!L12</f>
        <v>0</v>
      </c>
    </row>
    <row r="55" spans="1:11" s="146" customFormat="1" ht="11.25">
      <c r="A55" s="247">
        <v>9</v>
      </c>
      <c r="B55" s="246">
        <f>'[1]BALLAST'!C13</f>
        <v>0.07</v>
      </c>
      <c r="C55" s="246">
        <f>'[1]BALLAST'!E13</f>
        <v>0</v>
      </c>
      <c r="D55" s="246">
        <f>'[1]BALLAST'!F13</f>
        <v>0</v>
      </c>
      <c r="E55" s="143"/>
      <c r="F55" s="143"/>
      <c r="G55" s="143"/>
      <c r="H55" s="247">
        <v>9</v>
      </c>
      <c r="I55" s="246">
        <f>'[1]BALLAST'!I13</f>
        <v>0.06</v>
      </c>
      <c r="J55" s="246">
        <f>'[1]BALLAST'!K13</f>
        <v>0</v>
      </c>
      <c r="K55" s="246">
        <f>'[1]BALLAST'!L13</f>
        <v>0</v>
      </c>
    </row>
    <row r="56" spans="1:11" s="146" customFormat="1" ht="11.25">
      <c r="A56" s="247">
        <v>10</v>
      </c>
      <c r="B56" s="246">
        <f>'[1]BALLAST'!C14</f>
        <v>0</v>
      </c>
      <c r="C56" s="246">
        <f>'[1]BALLAST'!E14</f>
        <v>0</v>
      </c>
      <c r="D56" s="246">
        <f>'[1]BALLAST'!F14</f>
        <v>0</v>
      </c>
      <c r="E56" s="143"/>
      <c r="F56" s="143"/>
      <c r="G56" s="143"/>
      <c r="H56" s="247">
        <v>10</v>
      </c>
      <c r="I56" s="246">
        <f>'[1]BALLAST'!I14</f>
        <v>0</v>
      </c>
      <c r="J56" s="246">
        <f>'[1]BALLAST'!K14</f>
        <v>0</v>
      </c>
      <c r="K56" s="246">
        <f>'[1]BALLAST'!L14</f>
        <v>0</v>
      </c>
    </row>
    <row r="57" spans="1:11" s="146" customFormat="1" ht="11.25">
      <c r="A57" s="247" t="s">
        <v>187</v>
      </c>
      <c r="B57" s="246">
        <f>'[1]BALLAST'!C15</f>
        <v>0</v>
      </c>
      <c r="C57" s="246">
        <f>'[1]BALLAST'!E15</f>
        <v>0</v>
      </c>
      <c r="D57" s="246">
        <f>'[1]BALLAST'!F15</f>
        <v>0</v>
      </c>
      <c r="E57" s="143"/>
      <c r="F57" s="143"/>
      <c r="G57" s="143"/>
      <c r="H57" s="247" t="s">
        <v>187</v>
      </c>
      <c r="I57" s="246">
        <f>'[1]BALLAST'!I15</f>
        <v>0</v>
      </c>
      <c r="J57" s="246">
        <f>'[1]BALLAST'!K15</f>
        <v>0</v>
      </c>
      <c r="K57" s="246">
        <f>'[1]BALLAST'!L15</f>
        <v>0</v>
      </c>
    </row>
    <row r="58" spans="1:11" s="179" customFormat="1" ht="12.75">
      <c r="A58" s="188"/>
      <c r="B58" s="248"/>
      <c r="C58" s="190"/>
      <c r="D58" s="249">
        <f>'[1]BALLAST'!F16</f>
        <v>1372.70413</v>
      </c>
      <c r="E58" s="190"/>
      <c r="F58" s="190"/>
      <c r="G58" s="190"/>
      <c r="H58" s="190"/>
      <c r="I58" s="212"/>
      <c r="J58" s="190"/>
      <c r="K58" s="249">
        <f>'[1]BALLAST'!L16</f>
        <v>19.8869</v>
      </c>
    </row>
    <row r="59" spans="1:11" s="179" customFormat="1" ht="12.75">
      <c r="A59" s="212"/>
      <c r="B59" s="212"/>
      <c r="C59" s="212"/>
      <c r="D59" s="212"/>
      <c r="E59" s="212"/>
      <c r="F59" s="212"/>
      <c r="G59" s="212"/>
      <c r="H59" s="212"/>
      <c r="I59" s="212"/>
      <c r="J59" s="212"/>
      <c r="K59" s="212"/>
    </row>
    <row r="60" spans="1:11" s="179" customFormat="1" ht="15.75">
      <c r="A60" s="212"/>
      <c r="B60" s="212"/>
      <c r="C60" s="250" t="s">
        <v>188</v>
      </c>
      <c r="D60" s="250"/>
      <c r="E60" s="212"/>
      <c r="F60" s="251" t="e">
        <f>K40-I40</f>
        <v>#VALUE!</v>
      </c>
      <c r="G60" s="252"/>
      <c r="H60" s="253" t="s">
        <v>189</v>
      </c>
      <c r="I60" s="212"/>
      <c r="J60" s="212"/>
      <c r="K60" s="212"/>
    </row>
    <row r="61" spans="1:11" s="179" customFormat="1" ht="12.75">
      <c r="A61" s="212"/>
      <c r="B61" s="212"/>
      <c r="C61" s="212"/>
      <c r="D61" s="190"/>
      <c r="E61" s="190"/>
      <c r="F61" s="212"/>
      <c r="G61" s="212"/>
      <c r="H61" s="212"/>
      <c r="I61" s="212"/>
      <c r="J61" s="212"/>
      <c r="K61" s="212"/>
    </row>
    <row r="62" spans="1:11" s="179" customFormat="1" ht="12.75">
      <c r="A62" s="254" t="s">
        <v>190</v>
      </c>
      <c r="B62" s="190"/>
      <c r="C62" s="190"/>
      <c r="D62" s="190"/>
      <c r="E62" s="190"/>
      <c r="F62" s="190"/>
      <c r="G62" s="190"/>
      <c r="H62" s="212"/>
      <c r="I62" s="255" t="s">
        <v>191</v>
      </c>
      <c r="J62" s="212"/>
      <c r="K62" s="190"/>
    </row>
    <row r="63" spans="1:11" s="179" customFormat="1" ht="12.75">
      <c r="A63" s="254" t="s">
        <v>192</v>
      </c>
      <c r="B63" s="190"/>
      <c r="C63" s="190"/>
      <c r="D63" s="190"/>
      <c r="E63" s="190"/>
      <c r="F63" s="190"/>
      <c r="G63" s="190"/>
      <c r="H63" s="212"/>
      <c r="I63" s="255" t="s">
        <v>193</v>
      </c>
      <c r="J63" s="190"/>
      <c r="K63" s="190"/>
    </row>
    <row r="64" spans="1:11" s="179" customFormat="1" ht="19.5" customHeight="1">
      <c r="A64" s="190" t="s">
        <v>125</v>
      </c>
      <c r="B64" s="190"/>
      <c r="C64" s="190"/>
      <c r="D64" s="190"/>
      <c r="E64" s="190"/>
      <c r="F64" s="190"/>
      <c r="G64" s="190"/>
      <c r="H64" s="212"/>
      <c r="I64" s="255" t="s">
        <v>194</v>
      </c>
      <c r="J64" s="256">
        <f>I12</f>
        <v>0</v>
      </c>
      <c r="K64" s="212"/>
    </row>
  </sheetData>
  <printOptions/>
  <pageMargins left="0.75" right="0.75" top="1" bottom="1" header="0.5" footer="0.5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Western Fleet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Борискин</dc:creator>
  <cp:keywords/>
  <dc:description/>
  <cp:lastModifiedBy>Oleg Boriskin</cp:lastModifiedBy>
  <dcterms:created xsi:type="dcterms:W3CDTF">2097-01-06T15:14:18Z</dcterms:created>
  <dcterms:modified xsi:type="dcterms:W3CDTF">2004-10-22T07:44:29Z</dcterms:modified>
  <cp:category/>
  <cp:version/>
  <cp:contentType/>
  <cp:contentStatus/>
</cp:coreProperties>
</file>