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4785" tabRatio="771" activeTab="0"/>
  </bookViews>
  <sheets>
    <sheet name="Груз" sheetId="1" r:id="rId1"/>
    <sheet name="ИГН" sheetId="2" r:id="rId2"/>
    <sheet name="Миша" sheetId="3" r:id="rId3"/>
    <sheet name="План" sheetId="4" r:id="rId4"/>
    <sheet name="Plan" sheetId="5" r:id="rId5"/>
    <sheet name="Манифест" sheetId="6" r:id="rId6"/>
    <sheet name="Балласт" sheetId="7" r:id="rId7"/>
    <sheet name="Архив" sheetId="8" r:id="rId8"/>
    <sheet name="Лист6" sheetId="9" state="hidden" r:id="rId9"/>
  </sheets>
  <definedNames/>
  <calcPr fullCalcOnLoad="1"/>
</workbook>
</file>

<file path=xl/sharedStrings.xml><?xml version="1.0" encoding="utf-8"?>
<sst xmlns="http://schemas.openxmlformats.org/spreadsheetml/2006/main" count="771" uniqueCount="369">
  <si>
    <t xml:space="preserve"> </t>
  </si>
  <si>
    <r>
      <t xml:space="preserve"> </t>
    </r>
    <r>
      <rPr>
        <i/>
        <sz val="14"/>
        <color indexed="12"/>
        <rFont val="Arial Cyr"/>
        <family val="0"/>
      </rPr>
      <t>PRESTOW MV KONSTANTIN  PAUSTOVSKIY</t>
    </r>
  </si>
  <si>
    <t>CARGO</t>
  </si>
  <si>
    <t xml:space="preserve">  P,   t</t>
  </si>
  <si>
    <t xml:space="preserve">  Xg,   m</t>
  </si>
  <si>
    <t xml:space="preserve">  Mx,  tm</t>
  </si>
  <si>
    <t>DISPL.</t>
  </si>
  <si>
    <t>Av.draft</t>
  </si>
  <si>
    <t>Tons/cm</t>
  </si>
  <si>
    <t>TRIM/cm</t>
  </si>
  <si>
    <t>M/center</t>
  </si>
  <si>
    <t>M/h min</t>
  </si>
  <si>
    <t>Mz max</t>
  </si>
  <si>
    <t>C correct</t>
  </si>
  <si>
    <t>h 2</t>
  </si>
  <si>
    <t>Mz 2</t>
  </si>
  <si>
    <t>h 3</t>
  </si>
  <si>
    <t>Mz 3</t>
  </si>
  <si>
    <t>Date</t>
  </si>
  <si>
    <t>Исполнительный</t>
  </si>
  <si>
    <t>port</t>
  </si>
  <si>
    <t xml:space="preserve"> bay 01</t>
  </si>
  <si>
    <t>Рейс №</t>
  </si>
  <si>
    <t>Конец рейса -</t>
  </si>
  <si>
    <t>St.Petersburg</t>
  </si>
  <si>
    <t xml:space="preserve"> bay 02</t>
  </si>
  <si>
    <t>bay 15</t>
  </si>
  <si>
    <t>bay 14</t>
  </si>
  <si>
    <t>bay 13</t>
  </si>
  <si>
    <t>bay 11</t>
  </si>
  <si>
    <t>bay 10</t>
  </si>
  <si>
    <t>bay 09</t>
  </si>
  <si>
    <t>bay 07</t>
  </si>
  <si>
    <t>bay 06</t>
  </si>
  <si>
    <t>bay 05</t>
  </si>
  <si>
    <t>bay 03</t>
  </si>
  <si>
    <t>bay 02</t>
  </si>
  <si>
    <t>bay 01</t>
  </si>
  <si>
    <t xml:space="preserve"> bay 03</t>
  </si>
  <si>
    <t>л/б</t>
  </si>
  <si>
    <t xml:space="preserve"> bay 05</t>
  </si>
  <si>
    <t>84</t>
  </si>
  <si>
    <t xml:space="preserve"> bay 06</t>
  </si>
  <si>
    <t>TIER 4</t>
  </si>
  <si>
    <t xml:space="preserve"> bay07</t>
  </si>
  <si>
    <t>пр/б</t>
  </si>
  <si>
    <t xml:space="preserve"> Total:</t>
  </si>
  <si>
    <t>hatch 2</t>
  </si>
  <si>
    <t>hatch 1</t>
  </si>
  <si>
    <t xml:space="preserve"> bay 09</t>
  </si>
  <si>
    <t>82</t>
  </si>
  <si>
    <t xml:space="preserve"> bay 10</t>
  </si>
  <si>
    <t>TIER 3</t>
  </si>
  <si>
    <t xml:space="preserve"> bay 11</t>
  </si>
  <si>
    <t xml:space="preserve"> bay 13</t>
  </si>
  <si>
    <t xml:space="preserve"> bay 14</t>
  </si>
  <si>
    <t>tn</t>
  </si>
  <si>
    <t>Total hatches:</t>
  </si>
  <si>
    <t xml:space="preserve"> bay 15</t>
  </si>
  <si>
    <t>O4</t>
  </si>
  <si>
    <t>Hold  2</t>
  </si>
  <si>
    <t>Hold  1</t>
  </si>
  <si>
    <t>TIER 2</t>
  </si>
  <si>
    <t xml:space="preserve"> CARGO</t>
  </si>
  <si>
    <t xml:space="preserve"> Zg,   m</t>
  </si>
  <si>
    <t xml:space="preserve">  Mz,  tm</t>
  </si>
  <si>
    <t xml:space="preserve"> 02 tier</t>
  </si>
  <si>
    <t>hold 2</t>
  </si>
  <si>
    <t>hold 1</t>
  </si>
  <si>
    <t xml:space="preserve"> 04 tier</t>
  </si>
  <si>
    <t>O2</t>
  </si>
  <si>
    <t>TIER 1</t>
  </si>
  <si>
    <t xml:space="preserve"> 82 tier</t>
  </si>
  <si>
    <t xml:space="preserve"> 84 tier</t>
  </si>
  <si>
    <t>hold 2 =</t>
  </si>
  <si>
    <t>Total holds:</t>
  </si>
  <si>
    <t>hold 1 =</t>
  </si>
  <si>
    <t>Тк=</t>
  </si>
  <si>
    <t>м</t>
  </si>
  <si>
    <t>Total cargo:</t>
  </si>
  <si>
    <t>Тн=</t>
  </si>
  <si>
    <t>Trim =</t>
  </si>
  <si>
    <t>3,7 м =</t>
  </si>
  <si>
    <t>TANKS</t>
  </si>
  <si>
    <t>P,  t</t>
  </si>
  <si>
    <t>Xg,  m</t>
  </si>
  <si>
    <t>Mx, tm</t>
  </si>
  <si>
    <t>Zg,  m</t>
  </si>
  <si>
    <t>Mz, tm</t>
  </si>
  <si>
    <t>Yg,  m</t>
  </si>
  <si>
    <t>My, tm</t>
  </si>
  <si>
    <t>1,23 м =</t>
  </si>
  <si>
    <t>БЦ 01</t>
  </si>
  <si>
    <t>FW 08,11</t>
  </si>
  <si>
    <r>
      <t>BT</t>
    </r>
    <r>
      <rPr>
        <sz val="10"/>
        <rFont val="Arial Cyr"/>
        <family val="0"/>
      </rPr>
      <t>12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>13,9</t>
    </r>
  </si>
  <si>
    <r>
      <t>TЦ</t>
    </r>
    <r>
      <rPr>
        <sz val="8"/>
        <color indexed="18"/>
        <rFont val="Arial Cyr"/>
        <family val="0"/>
      </rPr>
      <t xml:space="preserve"> </t>
    </r>
    <r>
      <rPr>
        <sz val="10"/>
        <color indexed="18"/>
        <rFont val="Arial Cyr"/>
        <family val="0"/>
      </rPr>
      <t>8</t>
    </r>
    <r>
      <rPr>
        <sz val="8"/>
        <rFont val="Arial Cyr"/>
        <family val="0"/>
      </rPr>
      <t xml:space="preserve">  </t>
    </r>
    <r>
      <rPr>
        <sz val="8"/>
        <color indexed="14"/>
        <rFont val="Arial Cyr"/>
        <family val="2"/>
      </rPr>
      <t xml:space="preserve"> 7,7</t>
    </r>
  </si>
  <si>
    <r>
      <t>ВТ</t>
    </r>
    <r>
      <rPr>
        <sz val="10"/>
        <rFont val="Arial Cyr"/>
        <family val="0"/>
      </rPr>
      <t>10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>59,7</t>
    </r>
  </si>
  <si>
    <r>
      <t>BT</t>
    </r>
    <r>
      <rPr>
        <sz val="10"/>
        <rFont val="Arial Cyr"/>
        <family val="0"/>
      </rPr>
      <t>8</t>
    </r>
    <r>
      <rPr>
        <sz val="8"/>
        <rFont val="Arial Cyr"/>
        <family val="0"/>
      </rPr>
      <t xml:space="preserve"> </t>
    </r>
    <r>
      <rPr>
        <sz val="8"/>
        <color indexed="12"/>
        <rFont val="Arial Cyr"/>
        <family val="0"/>
      </rPr>
      <t>141,2</t>
    </r>
  </si>
  <si>
    <r>
      <t>BT</t>
    </r>
    <r>
      <rPr>
        <sz val="10"/>
        <rFont val="Arial Cyr"/>
        <family val="0"/>
      </rPr>
      <t>6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>117,7</t>
    </r>
  </si>
  <si>
    <r>
      <t>BT</t>
    </r>
    <r>
      <rPr>
        <sz val="10"/>
        <rFont val="Arial Cyr"/>
        <family val="0"/>
      </rPr>
      <t>4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>126,6</t>
    </r>
  </si>
  <si>
    <r>
      <t>BT</t>
    </r>
    <r>
      <rPr>
        <sz val="10"/>
        <rFont val="Arial Cyr"/>
        <family val="0"/>
      </rPr>
      <t>2</t>
    </r>
    <r>
      <rPr>
        <sz val="8"/>
        <rFont val="Arial Cyr"/>
        <family val="0"/>
      </rPr>
      <t xml:space="preserve">    </t>
    </r>
    <r>
      <rPr>
        <sz val="8"/>
        <color indexed="12"/>
        <rFont val="Arial Cyr"/>
        <family val="0"/>
      </rPr>
      <t>37,7</t>
    </r>
  </si>
  <si>
    <r>
      <t>BT</t>
    </r>
    <r>
      <rPr>
        <sz val="10"/>
        <rFont val="Arial Cyr"/>
        <family val="0"/>
      </rPr>
      <t>1</t>
    </r>
    <r>
      <rPr>
        <sz val="8"/>
        <rFont val="Arial Cyr"/>
        <family val="0"/>
      </rPr>
      <t xml:space="preserve">   121,8</t>
    </r>
  </si>
  <si>
    <t>БЦ 02</t>
  </si>
  <si>
    <t xml:space="preserve">    БАК</t>
  </si>
  <si>
    <t>БЦ 03</t>
  </si>
  <si>
    <t xml:space="preserve">   ЮТ</t>
  </si>
  <si>
    <t>DWT 02</t>
  </si>
  <si>
    <r>
      <t>TЦ</t>
    </r>
    <r>
      <rPr>
        <sz val="8"/>
        <color indexed="18"/>
        <rFont val="Arial Cyr"/>
        <family val="0"/>
      </rPr>
      <t xml:space="preserve"> </t>
    </r>
    <r>
      <rPr>
        <sz val="10"/>
        <color indexed="18"/>
        <rFont val="Arial Cyr"/>
        <family val="0"/>
      </rPr>
      <t>10</t>
    </r>
    <r>
      <rPr>
        <sz val="8"/>
        <rFont val="Arial Cyr"/>
        <family val="0"/>
      </rPr>
      <t xml:space="preserve">  </t>
    </r>
    <r>
      <rPr>
        <sz val="8"/>
        <color indexed="14"/>
        <rFont val="Arial Cyr"/>
        <family val="0"/>
      </rPr>
      <t>4,5</t>
    </r>
  </si>
  <si>
    <r>
      <t>ВТ</t>
    </r>
    <r>
      <rPr>
        <sz val="10"/>
        <rFont val="Arial Cyr"/>
        <family val="0"/>
      </rPr>
      <t>11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>59,7</t>
    </r>
  </si>
  <si>
    <r>
      <t>BT</t>
    </r>
    <r>
      <rPr>
        <sz val="10"/>
        <rFont val="Arial Cyr"/>
        <family val="0"/>
      </rPr>
      <t>9</t>
    </r>
    <r>
      <rPr>
        <sz val="8"/>
        <rFont val="Arial Cyr"/>
        <family val="0"/>
      </rPr>
      <t xml:space="preserve"> </t>
    </r>
    <r>
      <rPr>
        <sz val="8"/>
        <color indexed="12"/>
        <rFont val="Arial Cyr"/>
        <family val="0"/>
      </rPr>
      <t>141,2</t>
    </r>
  </si>
  <si>
    <r>
      <t>BT</t>
    </r>
    <r>
      <rPr>
        <sz val="10"/>
        <rFont val="Arial Cyr"/>
        <family val="0"/>
      </rPr>
      <t>7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>117,7</t>
    </r>
  </si>
  <si>
    <r>
      <t>BT</t>
    </r>
    <r>
      <rPr>
        <sz val="10"/>
        <rFont val="Arial Cyr"/>
        <family val="0"/>
      </rPr>
      <t>5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>126,6</t>
    </r>
  </si>
  <si>
    <r>
      <t>BT</t>
    </r>
    <r>
      <rPr>
        <sz val="10"/>
        <rFont val="Arial Cyr"/>
        <family val="0"/>
      </rPr>
      <t>3</t>
    </r>
    <r>
      <rPr>
        <sz val="8"/>
        <rFont val="Arial Cyr"/>
        <family val="0"/>
      </rPr>
      <t xml:space="preserve">    </t>
    </r>
    <r>
      <rPr>
        <sz val="8"/>
        <color indexed="12"/>
        <rFont val="Arial Cyr"/>
        <family val="0"/>
      </rPr>
      <t>36,7</t>
    </r>
  </si>
  <si>
    <t>БЦ 04</t>
  </si>
  <si>
    <t>БЦ 05</t>
  </si>
  <si>
    <r>
      <t>TЦ</t>
    </r>
    <r>
      <rPr>
        <sz val="8"/>
        <color indexed="18"/>
        <rFont val="Arial Cyr"/>
        <family val="0"/>
      </rPr>
      <t xml:space="preserve"> </t>
    </r>
    <r>
      <rPr>
        <sz val="10"/>
        <color indexed="18"/>
        <rFont val="Arial Cyr"/>
        <family val="0"/>
      </rPr>
      <t>11</t>
    </r>
    <r>
      <rPr>
        <sz val="8"/>
        <rFont val="Arial Cyr"/>
        <family val="0"/>
      </rPr>
      <t xml:space="preserve">  </t>
    </r>
    <r>
      <rPr>
        <sz val="8"/>
        <color indexed="14"/>
        <rFont val="Arial Cyr"/>
        <family val="0"/>
      </rPr>
      <t>4,1</t>
    </r>
  </si>
  <si>
    <r>
      <t>ЛЦ</t>
    </r>
    <r>
      <rPr>
        <sz val="10"/>
        <color indexed="18"/>
        <rFont val="Arial Cyr"/>
        <family val="2"/>
      </rPr>
      <t xml:space="preserve"> 2</t>
    </r>
    <r>
      <rPr>
        <sz val="10"/>
        <rFont val="Arial Cyr"/>
        <family val="2"/>
      </rPr>
      <t xml:space="preserve"> </t>
    </r>
    <r>
      <rPr>
        <sz val="8"/>
        <rFont val="Arial Cyr"/>
        <family val="0"/>
      </rPr>
      <t xml:space="preserve"> </t>
    </r>
    <r>
      <rPr>
        <sz val="8"/>
        <color indexed="14"/>
        <rFont val="Arial Cyr"/>
        <family val="0"/>
      </rPr>
      <t>29,0</t>
    </r>
  </si>
  <si>
    <t>т</t>
  </si>
  <si>
    <t>Крен:</t>
  </si>
  <si>
    <t>тм</t>
  </si>
  <si>
    <r>
      <t>TЦ</t>
    </r>
    <r>
      <rPr>
        <sz val="8"/>
        <color indexed="18"/>
        <rFont val="Arial Cyr"/>
        <family val="0"/>
      </rPr>
      <t xml:space="preserve"> </t>
    </r>
    <r>
      <rPr>
        <sz val="10"/>
        <color indexed="18"/>
        <rFont val="Arial Cyr"/>
        <family val="0"/>
      </rPr>
      <t>4</t>
    </r>
    <r>
      <rPr>
        <sz val="8"/>
        <rFont val="Arial Cyr"/>
        <family val="0"/>
      </rPr>
      <t xml:space="preserve">  </t>
    </r>
    <r>
      <rPr>
        <sz val="8"/>
        <color indexed="14"/>
        <rFont val="Arial Cyr"/>
        <family val="0"/>
      </rPr>
      <t>82</t>
    </r>
  </si>
  <si>
    <t>БЦ 06</t>
  </si>
  <si>
    <t xml:space="preserve">  = Груз =</t>
  </si>
  <si>
    <t>БЦ 07</t>
  </si>
  <si>
    <r>
      <t>ТЦ 12</t>
    </r>
    <r>
      <rPr>
        <sz val="8"/>
        <rFont val="Arial Cyr"/>
        <family val="0"/>
      </rPr>
      <t xml:space="preserve">  3,6</t>
    </r>
  </si>
  <si>
    <r>
      <t xml:space="preserve">МЦ </t>
    </r>
    <r>
      <rPr>
        <sz val="10"/>
        <rFont val="Arial Cyr"/>
        <family val="0"/>
      </rPr>
      <t>6</t>
    </r>
    <r>
      <rPr>
        <sz val="8"/>
        <rFont val="Arial Cyr"/>
        <family val="0"/>
      </rPr>
      <t xml:space="preserve">   2,4</t>
    </r>
  </si>
  <si>
    <r>
      <t>TЦ</t>
    </r>
    <r>
      <rPr>
        <sz val="8"/>
        <color indexed="18"/>
        <rFont val="Arial Cyr"/>
        <family val="0"/>
      </rPr>
      <t xml:space="preserve"> </t>
    </r>
    <r>
      <rPr>
        <sz val="10"/>
        <color indexed="18"/>
        <rFont val="Arial Cyr"/>
        <family val="0"/>
      </rPr>
      <t>5</t>
    </r>
    <r>
      <rPr>
        <sz val="8"/>
        <rFont val="Arial Cyr"/>
        <family val="0"/>
      </rPr>
      <t xml:space="preserve">  </t>
    </r>
    <r>
      <rPr>
        <sz val="8"/>
        <color indexed="14"/>
        <rFont val="Arial Cyr"/>
        <family val="0"/>
      </rPr>
      <t>29,0</t>
    </r>
  </si>
  <si>
    <t>Запасы=</t>
  </si>
  <si>
    <r>
      <t>TЦ</t>
    </r>
    <r>
      <rPr>
        <sz val="8"/>
        <color indexed="18"/>
        <rFont val="Arial Cyr"/>
        <family val="0"/>
      </rPr>
      <t xml:space="preserve"> </t>
    </r>
    <r>
      <rPr>
        <sz val="10"/>
        <color indexed="18"/>
        <rFont val="Arial Cyr"/>
        <family val="0"/>
      </rPr>
      <t>3</t>
    </r>
    <r>
      <rPr>
        <sz val="8"/>
        <rFont val="Arial Cyr"/>
        <family val="0"/>
      </rPr>
      <t xml:space="preserve"> </t>
    </r>
    <r>
      <rPr>
        <sz val="8"/>
        <color indexed="14"/>
        <rFont val="Arial Cyr"/>
        <family val="2"/>
      </rPr>
      <t xml:space="preserve"> 82</t>
    </r>
  </si>
  <si>
    <t>БЦ 08</t>
  </si>
  <si>
    <t>Сумма=</t>
  </si>
  <si>
    <t>БЦ 09</t>
  </si>
  <si>
    <t>МЦ 2  3,9</t>
  </si>
  <si>
    <r>
      <t>TЦ</t>
    </r>
    <r>
      <rPr>
        <sz val="8"/>
        <color indexed="18"/>
        <rFont val="Arial Cyr"/>
        <family val="0"/>
      </rPr>
      <t xml:space="preserve"> </t>
    </r>
    <r>
      <rPr>
        <sz val="10"/>
        <color indexed="18"/>
        <rFont val="Arial Cyr"/>
        <family val="0"/>
      </rPr>
      <t>7</t>
    </r>
    <r>
      <rPr>
        <sz val="8"/>
        <color indexed="18"/>
        <rFont val="Arial Cyr"/>
        <family val="0"/>
      </rPr>
      <t xml:space="preserve"> </t>
    </r>
    <r>
      <rPr>
        <sz val="8"/>
        <rFont val="Arial Cyr"/>
        <family val="0"/>
      </rPr>
      <t xml:space="preserve">   </t>
    </r>
    <r>
      <rPr>
        <sz val="8"/>
        <color indexed="14"/>
        <rFont val="Arial Cyr"/>
        <family val="0"/>
      </rPr>
      <t>1,7</t>
    </r>
  </si>
  <si>
    <t>BWT</t>
  </si>
  <si>
    <t>БЦ 10</t>
  </si>
  <si>
    <t>БЦ 11</t>
  </si>
  <si>
    <t>БЦ 12</t>
  </si>
  <si>
    <t>Total ballast:</t>
  </si>
  <si>
    <t>Total stores:</t>
  </si>
  <si>
    <t>Total water:</t>
  </si>
  <si>
    <t>MТЦ 02</t>
  </si>
  <si>
    <t>MТЦ 03</t>
  </si>
  <si>
    <t>MТЦ 04</t>
  </si>
  <si>
    <t>Dencity =</t>
  </si>
  <si>
    <t>DISPL=</t>
  </si>
  <si>
    <t>METACENTER</t>
  </si>
  <si>
    <t>DТЦ 05</t>
  </si>
  <si>
    <t>Zg</t>
  </si>
  <si>
    <t>Mtrim 1m</t>
  </si>
  <si>
    <t xml:space="preserve"> (1.025)</t>
  </si>
  <si>
    <t>ЛЦ 02</t>
  </si>
  <si>
    <t>DR fore</t>
  </si>
  <si>
    <t>Mx</t>
  </si>
  <si>
    <t>DRAFT</t>
  </si>
  <si>
    <t>DТЦ 07</t>
  </si>
  <si>
    <t>DR mid</t>
  </si>
  <si>
    <t>Mz</t>
  </si>
  <si>
    <t>&lt;&lt;&lt;&lt;&lt;&lt;&lt;</t>
  </si>
  <si>
    <t>TRIM</t>
  </si>
  <si>
    <t>MТЦ 08</t>
  </si>
  <si>
    <t>D aft</t>
  </si>
  <si>
    <t>Ho</t>
  </si>
  <si>
    <t>fore pp</t>
  </si>
  <si>
    <t>MТЦ 10</t>
  </si>
  <si>
    <t>DR pp aft</t>
  </si>
  <si>
    <t>Hcorr</t>
  </si>
  <si>
    <r>
      <t>&gt;&gt;&gt;&gt;&gt;</t>
    </r>
    <r>
      <rPr>
        <sz val="10"/>
        <rFont val="Arial Cyr"/>
        <family val="0"/>
      </rPr>
      <t xml:space="preserve">  Hcorr min</t>
    </r>
  </si>
  <si>
    <t>aft pp</t>
  </si>
  <si>
    <t>МТЦ  11</t>
  </si>
  <si>
    <t>К =</t>
  </si>
  <si>
    <r>
      <t>H max</t>
    </r>
    <r>
      <rPr>
        <sz val="8"/>
        <rFont val="Arial Cyr"/>
        <family val="2"/>
      </rPr>
      <t>2</t>
    </r>
  </si>
  <si>
    <t>МЦ 06</t>
  </si>
  <si>
    <t>К* =</t>
  </si>
  <si>
    <r>
      <t>H max</t>
    </r>
    <r>
      <rPr>
        <sz val="8"/>
        <rFont val="Arial Cyr"/>
        <family val="2"/>
      </rPr>
      <t>3</t>
    </r>
  </si>
  <si>
    <t>МЦ 07</t>
  </si>
  <si>
    <t>0,75 К* =</t>
  </si>
  <si>
    <t>Поправка</t>
  </si>
  <si>
    <t>BWT 02</t>
  </si>
  <si>
    <t>МЦ 2</t>
  </si>
  <si>
    <t>ТЦ 12</t>
  </si>
  <si>
    <t>TOTAL:</t>
  </si>
  <si>
    <t>VESSEL</t>
  </si>
  <si>
    <t>SUPPORT</t>
  </si>
  <si>
    <t>Груз  Контейнеры</t>
  </si>
  <si>
    <t>Рейс  №</t>
  </si>
  <si>
    <t>Статьи нагрузки</t>
  </si>
  <si>
    <t>P,тн</t>
  </si>
  <si>
    <t>X,м</t>
  </si>
  <si>
    <t>Mx,тм</t>
  </si>
  <si>
    <t>Z,м</t>
  </si>
  <si>
    <t>Mz,тм</t>
  </si>
  <si>
    <t>D mh</t>
  </si>
  <si>
    <t>Судно порожнем</t>
  </si>
  <si>
    <t>Экипаж,провизия</t>
  </si>
  <si>
    <t>Грузы снабжения</t>
  </si>
  <si>
    <t xml:space="preserve">Давление ветра </t>
  </si>
  <si>
    <t>Моторное топливо</t>
  </si>
  <si>
    <t>Район плаван.судна</t>
  </si>
  <si>
    <t>z,   м</t>
  </si>
  <si>
    <t>Диз.топливо</t>
  </si>
  <si>
    <t>Масло</t>
  </si>
  <si>
    <t>Неограниченный</t>
  </si>
  <si>
    <t xml:space="preserve">      -</t>
  </si>
  <si>
    <t>Вода</t>
  </si>
  <si>
    <t>Ограниченный I</t>
  </si>
  <si>
    <t>Трюм № 1</t>
  </si>
  <si>
    <t>Трюм № 2</t>
  </si>
  <si>
    <t>Множитель  Y</t>
  </si>
  <si>
    <t>Палуба</t>
  </si>
  <si>
    <t xml:space="preserve">   /B</t>
  </si>
  <si>
    <t>Балласт</t>
  </si>
  <si>
    <t>Груз :</t>
  </si>
  <si>
    <t>Водоизмещение</t>
  </si>
  <si>
    <t>Ограниченный II</t>
  </si>
  <si>
    <t>тн</t>
  </si>
  <si>
    <t>Zm</t>
  </si>
  <si>
    <t>Множитель  X1</t>
  </si>
  <si>
    <t>h-нач.</t>
  </si>
  <si>
    <t>Тн</t>
  </si>
  <si>
    <t>B/d</t>
  </si>
  <si>
    <t>X1</t>
  </si>
  <si>
    <t>h-испр.</t>
  </si>
  <si>
    <t>Тк</t>
  </si>
  <si>
    <t>h-доп</t>
  </si>
  <si>
    <t>Тср</t>
  </si>
  <si>
    <t>и менее</t>
  </si>
  <si>
    <t>тнм</t>
  </si>
  <si>
    <t>К</t>
  </si>
  <si>
    <t>Mz доп.</t>
  </si>
  <si>
    <t>К*</t>
  </si>
  <si>
    <t>и более</t>
  </si>
  <si>
    <t>Множитель  X2</t>
  </si>
  <si>
    <t>C</t>
  </si>
  <si>
    <t>X2</t>
  </si>
  <si>
    <t>BT 01</t>
  </si>
  <si>
    <r>
      <t>Коэффициент</t>
    </r>
    <r>
      <rPr>
        <i/>
        <sz val="10"/>
        <rFont val="Arial Cyr"/>
        <family val="0"/>
      </rPr>
      <t xml:space="preserve">  К</t>
    </r>
  </si>
  <si>
    <t>BT 02</t>
  </si>
  <si>
    <t>A/LB%</t>
  </si>
  <si>
    <t>BT 03</t>
  </si>
  <si>
    <t>k</t>
  </si>
  <si>
    <t>BT 04</t>
  </si>
  <si>
    <t>BT 05</t>
  </si>
  <si>
    <r>
      <t>Коэффициент</t>
    </r>
    <r>
      <rPr>
        <i/>
        <sz val="10"/>
        <rFont val="Arial Cyr"/>
        <family val="0"/>
      </rPr>
      <t xml:space="preserve">  m</t>
    </r>
  </si>
  <si>
    <t>BT 06</t>
  </si>
  <si>
    <t>m</t>
  </si>
  <si>
    <t>BT 07</t>
  </si>
  <si>
    <t>BT 08</t>
  </si>
  <si>
    <t>Расчет  составил  2 пом.капитана</t>
  </si>
  <si>
    <t>BT 09</t>
  </si>
  <si>
    <t>BT 10</t>
  </si>
  <si>
    <t>Проверил  капитан</t>
  </si>
  <si>
    <t xml:space="preserve">  </t>
  </si>
  <si>
    <t>Биргер А.Я.</t>
  </si>
  <si>
    <t>BT 11</t>
  </si>
  <si>
    <t>BT 12</t>
  </si>
  <si>
    <t>MFT 02</t>
  </si>
  <si>
    <t>MFT 03</t>
  </si>
  <si>
    <t xml:space="preserve">       K</t>
  </si>
  <si>
    <t xml:space="preserve">   1-0,75</t>
  </si>
  <si>
    <t>MFT 04</t>
  </si>
  <si>
    <t>Высота</t>
  </si>
  <si>
    <t>DFT 05</t>
  </si>
  <si>
    <t>волны</t>
  </si>
  <si>
    <t>DFT 06</t>
  </si>
  <si>
    <t>MFT 08</t>
  </si>
  <si>
    <t>MFT 10</t>
  </si>
  <si>
    <t>MFT 14</t>
  </si>
  <si>
    <t xml:space="preserve">       Y</t>
  </si>
  <si>
    <t>OT 01</t>
  </si>
  <si>
    <t>OT 07</t>
  </si>
  <si>
    <t xml:space="preserve">      B/d</t>
  </si>
  <si>
    <t xml:space="preserve">       X1</t>
  </si>
  <si>
    <t>Lf</t>
  </si>
  <si>
    <t>sinA</t>
  </si>
  <si>
    <t>Zg*sinA</t>
  </si>
  <si>
    <t>Lct</t>
  </si>
  <si>
    <t>ОАО " Северо-Западный Флот"</t>
  </si>
  <si>
    <t>ГРУЗОВОЙ   ПЛАН</t>
  </si>
  <si>
    <t>т/х  Константин  Паустовский</t>
  </si>
  <si>
    <t xml:space="preserve">Капитан  Биргер А.Я. </t>
  </si>
  <si>
    <t>Трюм 1</t>
  </si>
  <si>
    <t>Трюм 2</t>
  </si>
  <si>
    <t>Всего</t>
  </si>
  <si>
    <t>трюм №1</t>
  </si>
  <si>
    <t>трюм №2</t>
  </si>
  <si>
    <t>Капитан т/х " Константин  Паустовский"</t>
  </si>
  <si>
    <t>CARGO PLAN</t>
  </si>
  <si>
    <t>"KONSTANTIN  PAUSTOVSKIY"</t>
  </si>
  <si>
    <t>St. Petersburg</t>
  </si>
  <si>
    <t>-</t>
  </si>
  <si>
    <t>Rotterdam</t>
  </si>
  <si>
    <t>CRXU</t>
  </si>
  <si>
    <t>TRLU</t>
  </si>
  <si>
    <t>TOLU</t>
  </si>
  <si>
    <t>TPHU</t>
  </si>
  <si>
    <t>TPXU</t>
  </si>
  <si>
    <t>OCVU</t>
  </si>
  <si>
    <t>VATU</t>
  </si>
  <si>
    <t>BASU</t>
  </si>
  <si>
    <t>ICSU</t>
  </si>
  <si>
    <t>ELBU</t>
  </si>
  <si>
    <t>TTMU</t>
  </si>
  <si>
    <t>TEXU</t>
  </si>
  <si>
    <t>UACU</t>
  </si>
  <si>
    <t>JSt. "North-Western Fleet"</t>
  </si>
  <si>
    <t>CARGO   PLAN</t>
  </si>
  <si>
    <t>mv  "Konstantin  Paustovskiy"</t>
  </si>
  <si>
    <t>Master  A.Birger</t>
  </si>
  <si>
    <t>Last port -  Rotterdam</t>
  </si>
  <si>
    <t>Bound for St. Petersburg</t>
  </si>
  <si>
    <t>Deck</t>
  </si>
  <si>
    <t>Hold  No. 1</t>
  </si>
  <si>
    <t>tns</t>
  </si>
  <si>
    <t>Hold  No. 2</t>
  </si>
  <si>
    <t>Total</t>
  </si>
  <si>
    <t>Df=</t>
  </si>
  <si>
    <t>Da=</t>
  </si>
  <si>
    <t>Master of mv "Konstantin  Paustovskiy":</t>
  </si>
  <si>
    <t xml:space="preserve">                    A.Birger</t>
  </si>
  <si>
    <t>УРОВЕНЬ</t>
  </si>
  <si>
    <t xml:space="preserve"> ТАНКИ :</t>
  </si>
  <si>
    <t>СМ</t>
  </si>
  <si>
    <t>ОБЪЁМ</t>
  </si>
  <si>
    <t>Т</t>
  </si>
  <si>
    <t>№  1</t>
  </si>
  <si>
    <t>№  2</t>
  </si>
  <si>
    <t>№  3</t>
  </si>
  <si>
    <t>№  4</t>
  </si>
  <si>
    <t>№  5</t>
  </si>
  <si>
    <t>№  6</t>
  </si>
  <si>
    <t>№  7</t>
  </si>
  <si>
    <t>№  8</t>
  </si>
  <si>
    <t>№  9</t>
  </si>
  <si>
    <t>№  10</t>
  </si>
  <si>
    <t>№  11</t>
  </si>
  <si>
    <t>№  12</t>
  </si>
  <si>
    <t>СУММА</t>
  </si>
  <si>
    <t>см</t>
  </si>
  <si>
    <t>=</t>
  </si>
  <si>
    <t>БЦ1</t>
  </si>
  <si>
    <t>БЦ2</t>
  </si>
  <si>
    <t>БЦ3</t>
  </si>
  <si>
    <t>БЦ4</t>
  </si>
  <si>
    <t>БЦ5</t>
  </si>
  <si>
    <t>БЦ6</t>
  </si>
  <si>
    <t>БЦ7</t>
  </si>
  <si>
    <t>БЦ8</t>
  </si>
  <si>
    <t>БЦ9</t>
  </si>
  <si>
    <t>БЦ10</t>
  </si>
  <si>
    <t>БЦ11</t>
  </si>
  <si>
    <t>БЦ12</t>
  </si>
  <si>
    <t>RZDU</t>
  </si>
  <si>
    <t>Вышел из порта Роттердам</t>
  </si>
  <si>
    <t>Направляется в порт  С.Петербург</t>
  </si>
  <si>
    <t>02/WB</t>
  </si>
  <si>
    <t>HOLD</t>
  </si>
  <si>
    <t>CLHU</t>
  </si>
  <si>
    <t>TTNU</t>
  </si>
  <si>
    <t>TPMU</t>
  </si>
  <si>
    <t>TIFU</t>
  </si>
  <si>
    <t>SCZU</t>
  </si>
  <si>
    <t>SABU</t>
  </si>
  <si>
    <t>STHU</t>
  </si>
  <si>
    <t>UASU</t>
  </si>
  <si>
    <t>РАСЧЕТ  ОСТОЙЧИВОСТИ  Т/Х МИХАИЛ ДУДИН</t>
  </si>
  <si>
    <t>01/WB</t>
  </si>
  <si>
    <t>Лохов С.А.</t>
  </si>
  <si>
    <t>Залесский В.В.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</si>
</sst>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"/>
    <numFmt numFmtId="173" formatCode="0.0000"/>
    <numFmt numFmtId="174" formatCode="0.000"/>
    <numFmt numFmtId="175" formatCode="0.0"/>
    <numFmt numFmtId="176" formatCode="d/mmmm/yy"/>
    <numFmt numFmtId="177" formatCode="d/mmmm/yyyy"/>
    <numFmt numFmtId="178" formatCode="dd\ mmmm\ yyyy"/>
    <numFmt numFmtId="179" formatCode="0.0000000"/>
    <numFmt numFmtId="180" formatCode="0.000000"/>
    <numFmt numFmtId="181" formatCode="dd/mm/yy"/>
    <numFmt numFmtId="182" formatCode="0000000"/>
  </numFmts>
  <fonts count="37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0"/>
      <color indexed="10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sz val="16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0"/>
    </font>
    <font>
      <b/>
      <u val="single"/>
      <sz val="16"/>
      <name val="Arial Cyr"/>
      <family val="2"/>
    </font>
    <font>
      <sz val="8"/>
      <color indexed="9"/>
      <name val="Arial Cyr"/>
      <family val="2"/>
    </font>
    <font>
      <sz val="10"/>
      <color indexed="14"/>
      <name val="Arial Cyr"/>
      <family val="2"/>
    </font>
    <font>
      <sz val="8"/>
      <color indexed="10"/>
      <name val="Arial Cyr"/>
      <family val="0"/>
    </font>
    <font>
      <sz val="8"/>
      <color indexed="12"/>
      <name val="Arial Cyr"/>
      <family val="0"/>
    </font>
    <font>
      <sz val="10"/>
      <color indexed="18"/>
      <name val="Arial Cyr"/>
      <family val="0"/>
    </font>
    <font>
      <sz val="8"/>
      <color indexed="18"/>
      <name val="Arial Cyr"/>
      <family val="0"/>
    </font>
    <font>
      <sz val="8"/>
      <color indexed="14"/>
      <name val="Arial Cyr"/>
      <family val="0"/>
    </font>
    <font>
      <i/>
      <sz val="14"/>
      <name val="Arial Cyr"/>
      <family val="0"/>
    </font>
    <font>
      <i/>
      <sz val="14"/>
      <color indexed="12"/>
      <name val="Arial Cyr"/>
      <family val="0"/>
    </font>
    <font>
      <i/>
      <sz val="11"/>
      <name val="Arial Cyr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22"/>
      <name val="Arial Cyr"/>
      <family val="0"/>
    </font>
    <font>
      <u val="single"/>
      <sz val="10"/>
      <color indexed="16"/>
      <name val="Arial Cyr"/>
      <family val="0"/>
    </font>
    <font>
      <sz val="8"/>
      <color indexed="21"/>
      <name val="Arial Cyr"/>
      <family val="0"/>
    </font>
    <font>
      <sz val="8"/>
      <color indexed="16"/>
      <name val="Arial Cyr"/>
      <family val="2"/>
    </font>
    <font>
      <b/>
      <sz val="9"/>
      <name val="Arial Cyr"/>
      <family val="0"/>
    </font>
    <font>
      <b/>
      <sz val="14"/>
      <name val="Arial Cyr"/>
      <family val="2"/>
    </font>
    <font>
      <b/>
      <sz val="10"/>
      <color indexed="9"/>
      <name val="Arial Cyr"/>
      <family val="0"/>
    </font>
    <font>
      <b/>
      <sz val="8"/>
      <color indexed="9"/>
      <name val="Arial Cyr"/>
      <family val="0"/>
    </font>
    <font>
      <sz val="8"/>
      <color indexed="53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hair"/>
      <bottom style="hair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9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3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1" fillId="4" borderId="16" xfId="0" applyFont="1" applyFill="1" applyBorder="1" applyAlignment="1">
      <alignment horizontal="center"/>
    </xf>
    <xf numFmtId="0" fontId="0" fillId="4" borderId="16" xfId="0" applyFill="1" applyBorder="1" applyAlignment="1">
      <alignment/>
    </xf>
    <xf numFmtId="0" fontId="7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175" fontId="8" fillId="0" borderId="18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175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5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175" fontId="4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1" fillId="0" borderId="7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5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left"/>
      <protection hidden="1"/>
    </xf>
    <xf numFmtId="0" fontId="0" fillId="7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/>
      <protection hidden="1"/>
    </xf>
    <xf numFmtId="0" fontId="0" fillId="8" borderId="0" xfId="0" applyFill="1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175" fontId="1" fillId="7" borderId="0" xfId="0" applyNumberFormat="1" applyFont="1" applyFill="1" applyAlignment="1" applyProtection="1">
      <alignment horizontal="center" vertical="center"/>
      <protection hidden="1"/>
    </xf>
    <xf numFmtId="175" fontId="0" fillId="5" borderId="0" xfId="0" applyNumberFormat="1" applyFill="1" applyAlignment="1" applyProtection="1">
      <alignment horizontal="center" vertical="center"/>
      <protection hidden="1"/>
    </xf>
    <xf numFmtId="0" fontId="0" fillId="8" borderId="0" xfId="0" applyFont="1" applyFill="1" applyAlignment="1" applyProtection="1">
      <alignment horizontal="center" vertical="center"/>
      <protection hidden="1"/>
    </xf>
    <xf numFmtId="0" fontId="0" fillId="5" borderId="0" xfId="0" applyFill="1" applyAlignment="1">
      <alignment/>
    </xf>
    <xf numFmtId="0" fontId="1" fillId="3" borderId="23" xfId="0" applyFont="1" applyFill="1" applyBorder="1" applyAlignment="1" applyProtection="1">
      <alignment/>
      <protection hidden="1"/>
    </xf>
    <xf numFmtId="0" fontId="0" fillId="0" borderId="24" xfId="0" applyBorder="1" applyAlignment="1">
      <alignment/>
    </xf>
    <xf numFmtId="0" fontId="3" fillId="5" borderId="0" xfId="0" applyFont="1" applyFill="1" applyAlignment="1" applyProtection="1">
      <alignment horizontal="left"/>
      <protection hidden="1"/>
    </xf>
    <xf numFmtId="175" fontId="3" fillId="6" borderId="0" xfId="0" applyNumberFormat="1" applyFont="1" applyFill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175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Continuous"/>
      <protection hidden="1"/>
    </xf>
    <xf numFmtId="0" fontId="16" fillId="0" borderId="0" xfId="0" applyFont="1" applyAlignment="1" applyProtection="1">
      <alignment/>
      <protection hidden="1"/>
    </xf>
    <xf numFmtId="0" fontId="1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9" borderId="0" xfId="0" applyFill="1" applyBorder="1" applyAlignment="1">
      <alignment/>
    </xf>
    <xf numFmtId="0" fontId="7" fillId="0" borderId="0" xfId="0" applyFont="1" applyBorder="1" applyAlignment="1">
      <alignment/>
    </xf>
    <xf numFmtId="0" fontId="4" fillId="3" borderId="0" xfId="0" applyFont="1" applyFill="1" applyAlignment="1" applyProtection="1">
      <alignment horizontal="left"/>
      <protection locked="0"/>
    </xf>
    <xf numFmtId="181" fontId="12" fillId="3" borderId="0" xfId="0" applyNumberFormat="1" applyFont="1" applyFill="1" applyAlignment="1" applyProtection="1">
      <alignment horizontal="center"/>
      <protection locked="0"/>
    </xf>
    <xf numFmtId="174" fontId="0" fillId="0" borderId="0" xfId="0" applyNumberFormat="1" applyFont="1" applyBorder="1" applyAlignment="1">
      <alignment/>
    </xf>
    <xf numFmtId="174" fontId="0" fillId="0" borderId="0" xfId="0" applyNumberFormat="1" applyBorder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centerContinuous"/>
    </xf>
    <xf numFmtId="0" fontId="5" fillId="3" borderId="0" xfId="0" applyFont="1" applyFill="1" applyAlignment="1" applyProtection="1">
      <alignment/>
      <protection locked="0"/>
    </xf>
    <xf numFmtId="5" fontId="5" fillId="10" borderId="19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4" fillId="0" borderId="19" xfId="0" applyFont="1" applyBorder="1" applyAlignment="1">
      <alignment/>
    </xf>
    <xf numFmtId="0" fontId="1" fillId="0" borderId="19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178" fontId="7" fillId="0" borderId="0" xfId="0" applyNumberFormat="1" applyFont="1" applyAlignment="1">
      <alignment horizontal="center"/>
    </xf>
    <xf numFmtId="181" fontId="13" fillId="0" borderId="0" xfId="0" applyNumberFormat="1" applyFont="1" applyBorder="1" applyAlignment="1">
      <alignment/>
    </xf>
    <xf numFmtId="0" fontId="2" fillId="3" borderId="25" xfId="0" applyFont="1" applyFill="1" applyBorder="1" applyAlignment="1">
      <alignment vertical="center"/>
    </xf>
    <xf numFmtId="0" fontId="2" fillId="3" borderId="25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175" fontId="8" fillId="0" borderId="26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175" fontId="8" fillId="0" borderId="17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175" fontId="8" fillId="0" borderId="25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27" xfId="0" applyFont="1" applyBorder="1" applyAlignment="1">
      <alignment vertical="center"/>
    </xf>
    <xf numFmtId="175" fontId="8" fillId="0" borderId="28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2" fontId="8" fillId="0" borderId="28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175" fontId="8" fillId="0" borderId="0" xfId="0" applyNumberFormat="1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175" fontId="8" fillId="0" borderId="33" xfId="0" applyNumberFormat="1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2" fillId="3" borderId="0" xfId="0" applyFont="1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3" borderId="0" xfId="0" applyFont="1" applyFill="1" applyBorder="1" applyAlignment="1">
      <alignment horizontal="centerContinuous" vertical="center"/>
    </xf>
    <xf numFmtId="5" fontId="5" fillId="10" borderId="0" xfId="0" applyNumberFormat="1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1" fillId="3" borderId="0" xfId="0" applyFont="1" applyFill="1" applyBorder="1" applyAlignment="1">
      <alignment vertical="center"/>
    </xf>
    <xf numFmtId="1" fontId="5" fillId="10" borderId="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3" borderId="0" xfId="0" applyFont="1" applyFill="1" applyBorder="1" applyAlignment="1">
      <alignment horizontal="right" vertical="center"/>
    </xf>
    <xf numFmtId="5" fontId="4" fillId="10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2" fillId="3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3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24" fillId="3" borderId="0" xfId="0" applyFont="1" applyFill="1" applyAlignment="1" applyProtection="1">
      <alignment horizontal="center"/>
      <protection/>
    </xf>
    <xf numFmtId="0" fontId="8" fillId="3" borderId="0" xfId="0" applyFont="1" applyFill="1" applyAlignment="1" applyProtection="1">
      <alignment/>
      <protection/>
    </xf>
    <xf numFmtId="0" fontId="0" fillId="3" borderId="0" xfId="0" applyFont="1" applyFill="1" applyAlignment="1" applyProtection="1">
      <alignment horizontal="center"/>
      <protection/>
    </xf>
    <xf numFmtId="0" fontId="0" fillId="0" borderId="37" xfId="0" applyFont="1" applyBorder="1" applyAlignment="1" applyProtection="1">
      <alignment/>
      <protection/>
    </xf>
    <xf numFmtId="2" fontId="0" fillId="0" borderId="1" xfId="0" applyNumberFormat="1" applyFont="1" applyBorder="1" applyAlignment="1" applyProtection="1">
      <alignment horizontal="center"/>
      <protection/>
    </xf>
    <xf numFmtId="175" fontId="0" fillId="0" borderId="1" xfId="0" applyNumberFormat="1" applyFont="1" applyBorder="1" applyAlignment="1" applyProtection="1">
      <alignment horizontal="center"/>
      <protection/>
    </xf>
    <xf numFmtId="2" fontId="0" fillId="0" borderId="1" xfId="0" applyNumberFormat="1" applyFont="1" applyBorder="1" applyAlignment="1" applyProtection="1">
      <alignment/>
      <protection/>
    </xf>
    <xf numFmtId="2" fontId="8" fillId="0" borderId="13" xfId="0" applyNumberFormat="1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0" fillId="3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30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1" fillId="3" borderId="0" xfId="0" applyFont="1" applyFill="1" applyAlignment="1" applyProtection="1">
      <alignment horizontal="center" vertical="center"/>
      <protection/>
    </xf>
    <xf numFmtId="0" fontId="0" fillId="3" borderId="0" xfId="0" applyFont="1" applyFill="1" applyAlignment="1" applyProtection="1">
      <alignment horizontal="left"/>
      <protection/>
    </xf>
    <xf numFmtId="175" fontId="12" fillId="3" borderId="0" xfId="0" applyNumberFormat="1" applyFont="1" applyFill="1" applyAlignment="1" applyProtection="1">
      <alignment/>
      <protection/>
    </xf>
    <xf numFmtId="49" fontId="0" fillId="3" borderId="0" xfId="0" applyNumberFormat="1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25" xfId="0" applyFont="1" applyFill="1" applyBorder="1" applyAlignment="1" applyProtection="1">
      <alignment/>
      <protection/>
    </xf>
    <xf numFmtId="0" fontId="0" fillId="8" borderId="25" xfId="0" applyFont="1" applyFill="1" applyBorder="1" applyAlignment="1" applyProtection="1">
      <alignment horizontal="center"/>
      <protection/>
    </xf>
    <xf numFmtId="0" fontId="0" fillId="3" borderId="25" xfId="0" applyFont="1" applyFill="1" applyBorder="1" applyAlignment="1" applyProtection="1">
      <alignment horizontal="center"/>
      <protection/>
    </xf>
    <xf numFmtId="175" fontId="0" fillId="8" borderId="25" xfId="0" applyNumberFormat="1" applyFont="1" applyFill="1" applyBorder="1" applyAlignment="1" applyProtection="1">
      <alignment horizontal="center"/>
      <protection/>
    </xf>
    <xf numFmtId="0" fontId="0" fillId="11" borderId="25" xfId="0" applyFont="1" applyFill="1" applyBorder="1" applyAlignment="1" applyProtection="1">
      <alignment/>
      <protection/>
    </xf>
    <xf numFmtId="175" fontId="12" fillId="0" borderId="0" xfId="0" applyNumberFormat="1" applyFont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75" fontId="0" fillId="0" borderId="0" xfId="0" applyNumberFormat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0" fontId="25" fillId="3" borderId="0" xfId="0" applyFont="1" applyFill="1" applyAlignment="1" applyProtection="1">
      <alignment horizontal="center"/>
      <protection/>
    </xf>
    <xf numFmtId="0" fontId="0" fillId="3" borderId="1" xfId="0" applyFont="1" applyFill="1" applyBorder="1" applyAlignment="1" applyProtection="1">
      <alignment/>
      <protection/>
    </xf>
    <xf numFmtId="0" fontId="0" fillId="3" borderId="30" xfId="0" applyFont="1" applyFill="1" applyBorder="1" applyAlignment="1" applyProtection="1">
      <alignment/>
      <protection/>
    </xf>
    <xf numFmtId="2" fontId="0" fillId="3" borderId="1" xfId="0" applyNumberFormat="1" applyFont="1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/>
      <protection/>
    </xf>
    <xf numFmtId="175" fontId="0" fillId="3" borderId="1" xfId="0" applyNumberFormat="1" applyFont="1" applyFill="1" applyBorder="1" applyAlignment="1" applyProtection="1">
      <alignment horizontal="center"/>
      <protection/>
    </xf>
    <xf numFmtId="0" fontId="0" fillId="3" borderId="0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0" fontId="0" fillId="3" borderId="0" xfId="0" applyFill="1" applyAlignment="1" applyProtection="1">
      <alignment horizontal="centerContinuous"/>
      <protection/>
    </xf>
    <xf numFmtId="0" fontId="25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left"/>
      <protection/>
    </xf>
    <xf numFmtId="0" fontId="25" fillId="3" borderId="0" xfId="0" applyFont="1" applyFill="1" applyAlignment="1" applyProtection="1">
      <alignment/>
      <protection/>
    </xf>
    <xf numFmtId="0" fontId="0" fillId="3" borderId="3" xfId="0" applyFont="1" applyFill="1" applyBorder="1" applyAlignment="1" applyProtection="1">
      <alignment/>
      <protection/>
    </xf>
    <xf numFmtId="0" fontId="0" fillId="3" borderId="4" xfId="0" applyFont="1" applyFill="1" applyBorder="1" applyAlignment="1" applyProtection="1">
      <alignment horizontal="center"/>
      <protection/>
    </xf>
    <xf numFmtId="0" fontId="0" fillId="3" borderId="5" xfId="0" applyFont="1" applyFill="1" applyBorder="1" applyAlignment="1" applyProtection="1">
      <alignment horizontal="center"/>
      <protection/>
    </xf>
    <xf numFmtId="0" fontId="0" fillId="3" borderId="6" xfId="0" applyFont="1" applyFill="1" applyBorder="1" applyAlignment="1" applyProtection="1">
      <alignment/>
      <protection/>
    </xf>
    <xf numFmtId="175" fontId="0" fillId="3" borderId="2" xfId="0" applyNumberFormat="1" applyFont="1" applyFill="1" applyBorder="1" applyAlignment="1" applyProtection="1">
      <alignment horizontal="center"/>
      <protection/>
    </xf>
    <xf numFmtId="175" fontId="12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175" fontId="0" fillId="11" borderId="25" xfId="0" applyNumberFormat="1" applyFill="1" applyBorder="1" applyAlignment="1" applyProtection="1">
      <alignment horizontal="center"/>
      <protection/>
    </xf>
    <xf numFmtId="175" fontId="0" fillId="11" borderId="25" xfId="0" applyNumberFormat="1" applyFont="1" applyFill="1" applyBorder="1" applyAlignment="1" applyProtection="1">
      <alignment horizontal="center"/>
      <protection/>
    </xf>
    <xf numFmtId="175" fontId="0" fillId="3" borderId="0" xfId="0" applyNumberFormat="1" applyFont="1" applyFill="1" applyAlignment="1" applyProtection="1">
      <alignment/>
      <protection/>
    </xf>
    <xf numFmtId="2" fontId="0" fillId="0" borderId="1" xfId="0" applyNumberFormat="1" applyFont="1" applyFill="1" applyBorder="1" applyAlignment="1" applyProtection="1">
      <alignment horizontal="center"/>
      <protection/>
    </xf>
    <xf numFmtId="175" fontId="0" fillId="0" borderId="2" xfId="0" applyNumberFormat="1" applyFont="1" applyFill="1" applyBorder="1" applyAlignment="1" applyProtection="1">
      <alignment horizontal="center"/>
      <protection/>
    </xf>
    <xf numFmtId="175" fontId="0" fillId="11" borderId="0" xfId="0" applyNumberFormat="1" applyFill="1" applyAlignment="1" applyProtection="1">
      <alignment horizontal="center"/>
      <protection/>
    </xf>
    <xf numFmtId="0" fontId="0" fillId="3" borderId="41" xfId="0" applyFont="1" applyFill="1" applyBorder="1" applyAlignment="1" applyProtection="1">
      <alignment/>
      <protection/>
    </xf>
    <xf numFmtId="0" fontId="0" fillId="3" borderId="42" xfId="0" applyFont="1" applyFill="1" applyBorder="1" applyAlignment="1" applyProtection="1">
      <alignment/>
      <protection/>
    </xf>
    <xf numFmtId="0" fontId="0" fillId="3" borderId="6" xfId="0" applyFont="1" applyFill="1" applyBorder="1" applyAlignment="1" applyProtection="1">
      <alignment horizontal="center"/>
      <protection/>
    </xf>
    <xf numFmtId="2" fontId="0" fillId="3" borderId="15" xfId="0" applyNumberFormat="1" applyFont="1" applyFill="1" applyBorder="1" applyAlignment="1" applyProtection="1">
      <alignment/>
      <protection/>
    </xf>
    <xf numFmtId="2" fontId="0" fillId="3" borderId="38" xfId="0" applyNumberFormat="1" applyFont="1" applyFill="1" applyBorder="1" applyAlignment="1" applyProtection="1">
      <alignment/>
      <protection/>
    </xf>
    <xf numFmtId="0" fontId="25" fillId="0" borderId="0" xfId="0" applyFont="1" applyAlignment="1" applyProtection="1">
      <alignment horizontal="right"/>
      <protection/>
    </xf>
    <xf numFmtId="2" fontId="25" fillId="3" borderId="0" xfId="0" applyNumberFormat="1" applyFont="1" applyFill="1" applyAlignment="1" applyProtection="1">
      <alignment horizontal="center"/>
      <protection/>
    </xf>
    <xf numFmtId="0" fontId="25" fillId="0" borderId="0" xfId="0" applyFont="1" applyAlignment="1" applyProtection="1">
      <alignment horizontal="left"/>
      <protection/>
    </xf>
    <xf numFmtId="2" fontId="25" fillId="3" borderId="0" xfId="0" applyNumberFormat="1" applyFont="1" applyFill="1" applyAlignment="1" applyProtection="1">
      <alignment horizontal="left"/>
      <protection/>
    </xf>
    <xf numFmtId="175" fontId="8" fillId="3" borderId="0" xfId="0" applyNumberFormat="1" applyFont="1" applyFill="1" applyBorder="1" applyAlignment="1" applyProtection="1">
      <alignment/>
      <protection/>
    </xf>
    <xf numFmtId="2" fontId="0" fillId="3" borderId="0" xfId="0" applyNumberFormat="1" applyFont="1" applyFill="1" applyAlignment="1" applyProtection="1">
      <alignment horizontal="left"/>
      <protection/>
    </xf>
    <xf numFmtId="175" fontId="26" fillId="3" borderId="0" xfId="0" applyNumberFormat="1" applyFont="1" applyFill="1" applyAlignment="1" applyProtection="1">
      <alignment/>
      <protection/>
    </xf>
    <xf numFmtId="0" fontId="12" fillId="3" borderId="0" xfId="0" applyFont="1" applyFill="1" applyAlignment="1" applyProtection="1">
      <alignment horizontal="left"/>
      <protection/>
    </xf>
    <xf numFmtId="2" fontId="8" fillId="0" borderId="43" xfId="0" applyNumberFormat="1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174" fontId="0" fillId="3" borderId="0" xfId="0" applyNumberFormat="1" applyFont="1" applyFill="1" applyBorder="1" applyAlignment="1" applyProtection="1">
      <alignment/>
      <protection/>
    </xf>
    <xf numFmtId="2" fontId="0" fillId="3" borderId="0" xfId="0" applyNumberFormat="1" applyFont="1" applyFill="1" applyBorder="1" applyAlignment="1" applyProtection="1">
      <alignment/>
      <protection/>
    </xf>
    <xf numFmtId="175" fontId="0" fillId="3" borderId="0" xfId="0" applyNumberFormat="1" applyFont="1" applyFill="1" applyBorder="1" applyAlignment="1" applyProtection="1">
      <alignment/>
      <protection/>
    </xf>
    <xf numFmtId="0" fontId="29" fillId="3" borderId="0" xfId="0" applyFont="1" applyFill="1" applyAlignment="1" applyProtection="1">
      <alignment horizontal="center"/>
      <protection/>
    </xf>
    <xf numFmtId="175" fontId="27" fillId="3" borderId="0" xfId="0" applyNumberFormat="1" applyFont="1" applyFill="1" applyAlignment="1" applyProtection="1">
      <alignment horizontal="center"/>
      <protection/>
    </xf>
    <xf numFmtId="0" fontId="27" fillId="3" borderId="0" xfId="0" applyFont="1" applyFill="1" applyAlignment="1" applyProtection="1">
      <alignment horizontal="right"/>
      <protection/>
    </xf>
    <xf numFmtId="2" fontId="27" fillId="3" borderId="0" xfId="0" applyNumberFormat="1" applyFont="1" applyFill="1" applyAlignment="1" applyProtection="1">
      <alignment horizontal="center"/>
      <protection/>
    </xf>
    <xf numFmtId="2" fontId="27" fillId="3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6" xfId="0" applyFont="1" applyBorder="1" applyAlignment="1" applyProtection="1">
      <alignment horizontal="center"/>
      <protection/>
    </xf>
    <xf numFmtId="2" fontId="0" fillId="0" borderId="15" xfId="0" applyNumberFormat="1" applyFont="1" applyBorder="1" applyAlignment="1" applyProtection="1">
      <alignment/>
      <protection/>
    </xf>
    <xf numFmtId="0" fontId="0" fillId="3" borderId="0" xfId="0" applyFont="1" applyFill="1" applyAlignment="1" applyProtection="1">
      <alignment horizontal="center" vertical="center"/>
      <protection/>
    </xf>
    <xf numFmtId="174" fontId="0" fillId="7" borderId="44" xfId="0" applyNumberFormat="1" applyFont="1" applyFill="1" applyBorder="1" applyAlignment="1" applyProtection="1">
      <alignment horizontal="center" vertical="center"/>
      <protection/>
    </xf>
    <xf numFmtId="175" fontId="9" fillId="7" borderId="4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center"/>
      <protection/>
    </xf>
    <xf numFmtId="0" fontId="0" fillId="3" borderId="0" xfId="0" applyFont="1" applyFill="1" applyBorder="1" applyAlignment="1" applyProtection="1">
      <alignment horizontal="right" vertical="center"/>
      <protection/>
    </xf>
    <xf numFmtId="2" fontId="0" fillId="7" borderId="44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3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2" borderId="41" xfId="0" applyFont="1" applyFill="1" applyBorder="1" applyAlignment="1" applyProtection="1">
      <alignment horizontal="center"/>
      <protection/>
    </xf>
    <xf numFmtId="175" fontId="0" fillId="2" borderId="42" xfId="0" applyNumberFormat="1" applyFont="1" applyFill="1" applyBorder="1" applyAlignment="1" applyProtection="1">
      <alignment/>
      <protection/>
    </xf>
    <xf numFmtId="0" fontId="0" fillId="9" borderId="42" xfId="0" applyFont="1" applyFill="1" applyBorder="1" applyAlignment="1" applyProtection="1">
      <alignment/>
      <protection/>
    </xf>
    <xf numFmtId="0" fontId="0" fillId="2" borderId="42" xfId="0" applyFont="1" applyFill="1" applyBorder="1" applyAlignment="1" applyProtection="1">
      <alignment/>
      <protection/>
    </xf>
    <xf numFmtId="0" fontId="0" fillId="2" borderId="45" xfId="0" applyFont="1" applyFill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0" fillId="2" borderId="25" xfId="0" applyFont="1" applyFill="1" applyBorder="1" applyAlignment="1" applyProtection="1">
      <alignment/>
      <protection/>
    </xf>
    <xf numFmtId="0" fontId="0" fillId="9" borderId="25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3" borderId="0" xfId="0" applyFont="1" applyFill="1" applyAlignment="1" applyProtection="1">
      <alignment horizontal="center"/>
      <protection locked="0"/>
    </xf>
    <xf numFmtId="0" fontId="0" fillId="3" borderId="0" xfId="0" applyFont="1" applyFill="1" applyAlignment="1" applyProtection="1">
      <alignment horizontal="right"/>
      <protection locked="0"/>
    </xf>
    <xf numFmtId="0" fontId="0" fillId="3" borderId="0" xfId="0" applyFont="1" applyFill="1" applyAlignment="1" applyProtection="1">
      <alignment/>
      <protection locked="0"/>
    </xf>
    <xf numFmtId="0" fontId="9" fillId="3" borderId="0" xfId="0" applyFont="1" applyFill="1" applyAlignment="1" applyProtection="1">
      <alignment horizontal="right"/>
      <protection/>
    </xf>
    <xf numFmtId="175" fontId="31" fillId="3" borderId="0" xfId="0" applyNumberFormat="1" applyFont="1" applyFill="1" applyAlignment="1" applyProtection="1">
      <alignment horizontal="left"/>
      <protection/>
    </xf>
    <xf numFmtId="175" fontId="32" fillId="0" borderId="46" xfId="0" applyNumberFormat="1" applyFont="1" applyBorder="1" applyAlignment="1">
      <alignment vertical="center"/>
    </xf>
    <xf numFmtId="174" fontId="32" fillId="0" borderId="46" xfId="0" applyNumberFormat="1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/>
      <protection/>
    </xf>
    <xf numFmtId="174" fontId="0" fillId="3" borderId="42" xfId="0" applyNumberFormat="1" applyFont="1" applyFill="1" applyBorder="1" applyAlignment="1" applyProtection="1">
      <alignment/>
      <protection/>
    </xf>
    <xf numFmtId="175" fontId="0" fillId="3" borderId="45" xfId="0" applyNumberFormat="1" applyFont="1" applyFill="1" applyBorder="1" applyAlignment="1" applyProtection="1">
      <alignment/>
      <protection/>
    </xf>
    <xf numFmtId="2" fontId="0" fillId="0" borderId="2" xfId="0" applyNumberFormat="1" applyFont="1" applyBorder="1" applyAlignment="1" applyProtection="1">
      <alignment/>
      <protection/>
    </xf>
    <xf numFmtId="1" fontId="10" fillId="8" borderId="47" xfId="0" applyNumberFormat="1" applyFont="1" applyFill="1" applyBorder="1" applyAlignment="1" applyProtection="1">
      <alignment horizontal="center" vertical="center"/>
      <protection locked="0"/>
    </xf>
    <xf numFmtId="1" fontId="10" fillId="7" borderId="4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174" fontId="0" fillId="0" borderId="48" xfId="0" applyNumberFormat="1" applyFont="1" applyFill="1" applyBorder="1" applyAlignment="1" applyProtection="1">
      <alignment horizontal="right" vertical="center"/>
      <protection locked="0"/>
    </xf>
    <xf numFmtId="174" fontId="0" fillId="7" borderId="44" xfId="0" applyNumberFormat="1" applyFont="1" applyFill="1" applyBorder="1" applyAlignment="1" applyProtection="1">
      <alignment vertical="center"/>
      <protection/>
    </xf>
    <xf numFmtId="174" fontId="0" fillId="8" borderId="44" xfId="0" applyNumberFormat="1" applyFont="1" applyFill="1" applyBorder="1" applyAlignment="1" applyProtection="1">
      <alignment vertical="center"/>
      <protection/>
    </xf>
    <xf numFmtId="0" fontId="0" fillId="7" borderId="44" xfId="0" applyFont="1" applyFill="1" applyBorder="1" applyAlignment="1" applyProtection="1">
      <alignment vertical="center"/>
      <protection/>
    </xf>
    <xf numFmtId="0" fontId="9" fillId="6" borderId="44" xfId="0" applyFont="1" applyFill="1" applyBorder="1" applyAlignment="1" applyProtection="1">
      <alignment horizontal="left" vertical="center"/>
      <protection/>
    </xf>
    <xf numFmtId="0" fontId="17" fillId="8" borderId="44" xfId="0" applyFont="1" applyFill="1" applyBorder="1" applyAlignment="1" applyProtection="1">
      <alignment horizontal="center" vertical="center"/>
      <protection/>
    </xf>
    <xf numFmtId="0" fontId="9" fillId="6" borderId="44" xfId="0" applyFont="1" applyFill="1" applyBorder="1" applyAlignment="1" applyProtection="1">
      <alignment horizontal="center" vertical="center"/>
      <protection/>
    </xf>
    <xf numFmtId="175" fontId="0" fillId="3" borderId="44" xfId="0" applyNumberFormat="1" applyFont="1" applyFill="1" applyBorder="1" applyAlignment="1" applyProtection="1">
      <alignment horizontal="center" vertical="center"/>
      <protection locked="0"/>
    </xf>
    <xf numFmtId="175" fontId="0" fillId="6" borderId="44" xfId="0" applyNumberFormat="1" applyFont="1" applyFill="1" applyBorder="1" applyAlignment="1" applyProtection="1">
      <alignment horizontal="center" vertical="center"/>
      <protection locked="0"/>
    </xf>
    <xf numFmtId="175" fontId="0" fillId="8" borderId="44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Alignment="1" applyProtection="1">
      <alignment vertical="center"/>
      <protection/>
    </xf>
    <xf numFmtId="0" fontId="28" fillId="0" borderId="44" xfId="0" applyFont="1" applyFill="1" applyBorder="1" applyAlignment="1" applyProtection="1">
      <alignment horizontal="center" vertical="center"/>
      <protection/>
    </xf>
    <xf numFmtId="175" fontId="28" fillId="0" borderId="44" xfId="0" applyNumberFormat="1" applyFont="1" applyFill="1" applyBorder="1" applyAlignment="1" applyProtection="1">
      <alignment horizontal="center" vertical="center"/>
      <protection/>
    </xf>
    <xf numFmtId="0" fontId="18" fillId="8" borderId="44" xfId="0" applyFont="1" applyFill="1" applyBorder="1" applyAlignment="1" applyProtection="1">
      <alignment horizontal="center" vertical="center"/>
      <protection/>
    </xf>
    <xf numFmtId="0" fontId="30" fillId="8" borderId="44" xfId="0" applyFont="1" applyFill="1" applyBorder="1" applyAlignment="1" applyProtection="1">
      <alignment horizontal="center" vertical="center"/>
      <protection/>
    </xf>
    <xf numFmtId="0" fontId="9" fillId="8" borderId="44" xfId="0" applyFont="1" applyFill="1" applyBorder="1" applyAlignment="1" applyProtection="1">
      <alignment horizontal="center" vertical="center"/>
      <protection/>
    </xf>
    <xf numFmtId="175" fontId="25" fillId="8" borderId="44" xfId="0" applyNumberFormat="1" applyFont="1" applyFill="1" applyBorder="1" applyAlignment="1" applyProtection="1">
      <alignment horizontal="center" vertical="center"/>
      <protection/>
    </xf>
    <xf numFmtId="175" fontId="26" fillId="8" borderId="49" xfId="0" applyNumberFormat="1" applyFont="1" applyFill="1" applyBorder="1" applyAlignment="1" applyProtection="1">
      <alignment horizontal="center" vertical="center"/>
      <protection/>
    </xf>
    <xf numFmtId="175" fontId="0" fillId="6" borderId="44" xfId="0" applyNumberFormat="1" applyFont="1" applyFill="1" applyBorder="1" applyAlignment="1" applyProtection="1">
      <alignment vertical="center"/>
      <protection/>
    </xf>
    <xf numFmtId="175" fontId="0" fillId="8" borderId="44" xfId="0" applyNumberFormat="1" applyFont="1" applyFill="1" applyBorder="1" applyAlignment="1" applyProtection="1">
      <alignment vertical="center"/>
      <protection/>
    </xf>
    <xf numFmtId="175" fontId="0" fillId="7" borderId="44" xfId="0" applyNumberFormat="1" applyFont="1" applyFill="1" applyBorder="1" applyAlignment="1" applyProtection="1">
      <alignment vertical="center"/>
      <protection/>
    </xf>
    <xf numFmtId="0" fontId="0" fillId="3" borderId="0" xfId="0" applyFont="1" applyFill="1" applyAlignment="1" applyProtection="1">
      <alignment horizontal="left" vertical="center"/>
      <protection/>
    </xf>
    <xf numFmtId="2" fontId="0" fillId="8" borderId="44" xfId="0" applyNumberFormat="1" applyFont="1" applyFill="1" applyBorder="1" applyAlignment="1" applyProtection="1">
      <alignment vertical="center"/>
      <protection/>
    </xf>
    <xf numFmtId="1" fontId="0" fillId="8" borderId="44" xfId="0" applyNumberFormat="1" applyFont="1" applyFill="1" applyBorder="1" applyAlignment="1" applyProtection="1">
      <alignment vertical="center"/>
      <protection/>
    </xf>
    <xf numFmtId="2" fontId="0" fillId="8" borderId="44" xfId="0" applyNumberFormat="1" applyFont="1" applyFill="1" applyBorder="1" applyAlignment="1" applyProtection="1">
      <alignment horizontal="right" vertical="center"/>
      <protection/>
    </xf>
    <xf numFmtId="2" fontId="0" fillId="8" borderId="49" xfId="0" applyNumberFormat="1" applyFont="1" applyFill="1" applyBorder="1" applyAlignment="1" applyProtection="1">
      <alignment horizontal="right" vertical="center"/>
      <protection/>
    </xf>
    <xf numFmtId="175" fontId="0" fillId="9" borderId="44" xfId="0" applyNumberFormat="1" applyFont="1" applyFill="1" applyBorder="1" applyAlignment="1" applyProtection="1">
      <alignment vertical="center"/>
      <protection/>
    </xf>
    <xf numFmtId="174" fontId="0" fillId="9" borderId="44" xfId="0" applyNumberFormat="1" applyFont="1" applyFill="1" applyBorder="1" applyAlignment="1" applyProtection="1">
      <alignment vertical="center"/>
      <protection/>
    </xf>
    <xf numFmtId="174" fontId="0" fillId="9" borderId="50" xfId="0" applyNumberFormat="1" applyFont="1" applyFill="1" applyBorder="1" applyAlignment="1" applyProtection="1">
      <alignment vertical="center"/>
      <protection/>
    </xf>
    <xf numFmtId="174" fontId="0" fillId="6" borderId="44" xfId="0" applyNumberFormat="1" applyFont="1" applyFill="1" applyBorder="1" applyAlignment="1" applyProtection="1">
      <alignment vertical="center"/>
      <protection/>
    </xf>
    <xf numFmtId="2" fontId="0" fillId="6" borderId="44" xfId="0" applyNumberFormat="1" applyFont="1" applyFill="1" applyBorder="1" applyAlignment="1" applyProtection="1">
      <alignment vertical="center"/>
      <protection/>
    </xf>
    <xf numFmtId="0" fontId="25" fillId="3" borderId="0" xfId="0" applyFont="1" applyFill="1" applyAlignment="1" applyProtection="1">
      <alignment horizontal="right" vertical="center"/>
      <protection/>
    </xf>
    <xf numFmtId="0" fontId="0" fillId="3" borderId="0" xfId="0" applyFill="1" applyAlignment="1" applyProtection="1">
      <alignment horizontal="right" vertical="center"/>
      <protection/>
    </xf>
    <xf numFmtId="1" fontId="10" fillId="0" borderId="47" xfId="0" applyNumberFormat="1" applyFont="1" applyFill="1" applyBorder="1" applyAlignment="1" applyProtection="1">
      <alignment horizontal="center" vertical="center"/>
      <protection locked="0"/>
    </xf>
    <xf numFmtId="175" fontId="0" fillId="0" borderId="44" xfId="0" applyNumberFormat="1" applyFont="1" applyFill="1" applyBorder="1" applyAlignment="1" applyProtection="1">
      <alignment horizontal="right" vertical="center"/>
      <protection locked="0"/>
    </xf>
    <xf numFmtId="175" fontId="0" fillId="0" borderId="48" xfId="0" applyNumberFormat="1" applyFont="1" applyFill="1" applyBorder="1" applyAlignment="1" applyProtection="1">
      <alignment horizontal="right" vertical="center"/>
      <protection locked="0"/>
    </xf>
    <xf numFmtId="174" fontId="0" fillId="7" borderId="48" xfId="0" applyNumberFormat="1" applyFont="1" applyFill="1" applyBorder="1" applyAlignment="1" applyProtection="1">
      <alignment horizontal="right" vertical="center"/>
      <protection locked="0"/>
    </xf>
    <xf numFmtId="174" fontId="0" fillId="8" borderId="48" xfId="0" applyNumberFormat="1" applyFont="1" applyFill="1" applyBorder="1" applyAlignment="1" applyProtection="1">
      <alignment horizontal="right" vertical="center"/>
      <protection locked="0"/>
    </xf>
    <xf numFmtId="173" fontId="9" fillId="8" borderId="44" xfId="0" applyNumberFormat="1" applyFont="1" applyFill="1" applyBorder="1" applyAlignment="1" applyProtection="1">
      <alignment vertical="center"/>
      <protection/>
    </xf>
    <xf numFmtId="1" fontId="0" fillId="0" borderId="25" xfId="0" applyNumberFormat="1" applyFont="1" applyBorder="1" applyAlignment="1" applyProtection="1">
      <alignment/>
      <protection/>
    </xf>
    <xf numFmtId="174" fontId="0" fillId="7" borderId="44" xfId="0" applyNumberFormat="1" applyFont="1" applyFill="1" applyBorder="1" applyAlignment="1" applyProtection="1">
      <alignment horizontal="right" vertical="center"/>
      <protection locked="0"/>
    </xf>
    <xf numFmtId="174" fontId="0" fillId="12" borderId="44" xfId="0" applyNumberFormat="1" applyFont="1" applyFill="1" applyBorder="1" applyAlignment="1" applyProtection="1">
      <alignment horizontal="right" vertical="center"/>
      <protection locked="0"/>
    </xf>
    <xf numFmtId="174" fontId="0" fillId="8" borderId="44" xfId="0" applyNumberFormat="1" applyFont="1" applyFill="1" applyBorder="1" applyAlignment="1" applyProtection="1">
      <alignment horizontal="right" vertical="center"/>
      <protection locked="0"/>
    </xf>
    <xf numFmtId="174" fontId="0" fillId="6" borderId="44" xfId="0" applyNumberFormat="1" applyFont="1" applyFill="1" applyBorder="1" applyAlignment="1" applyProtection="1">
      <alignment horizontal="right" vertical="center"/>
      <protection locked="0"/>
    </xf>
    <xf numFmtId="174" fontId="0" fillId="9" borderId="48" xfId="0" applyNumberFormat="1" applyFont="1" applyFill="1" applyBorder="1" applyAlignment="1" applyProtection="1">
      <alignment horizontal="right" vertical="center"/>
      <protection locked="0"/>
    </xf>
    <xf numFmtId="174" fontId="0" fillId="9" borderId="44" xfId="0" applyNumberFormat="1" applyFont="1" applyFill="1" applyBorder="1" applyAlignment="1" applyProtection="1">
      <alignment horizontal="right" vertical="center"/>
      <protection locked="0"/>
    </xf>
    <xf numFmtId="174" fontId="0" fillId="6" borderId="4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51" xfId="0" applyBorder="1" applyAlignment="1">
      <alignment horizontal="right"/>
    </xf>
    <xf numFmtId="0" fontId="0" fillId="0" borderId="51" xfId="0" applyBorder="1" applyAlignment="1">
      <alignment/>
    </xf>
    <xf numFmtId="0" fontId="0" fillId="0" borderId="51" xfId="0" applyFont="1" applyBorder="1" applyAlignment="1">
      <alignment/>
    </xf>
    <xf numFmtId="0" fontId="0" fillId="0" borderId="51" xfId="0" applyFont="1" applyBorder="1" applyAlignment="1">
      <alignment horizontal="right"/>
    </xf>
    <xf numFmtId="0" fontId="0" fillId="0" borderId="5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51" xfId="0" applyFont="1" applyBorder="1" applyAlignment="1">
      <alignment horizontal="right"/>
    </xf>
    <xf numFmtId="0" fontId="1" fillId="0" borderId="5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47" xfId="0" applyFont="1" applyBorder="1" applyAlignment="1">
      <alignment/>
    </xf>
    <xf numFmtId="0" fontId="2" fillId="0" borderId="52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1" xfId="0" applyFont="1" applyBorder="1" applyAlignment="1">
      <alignment horizontal="right"/>
    </xf>
    <xf numFmtId="0" fontId="2" fillId="0" borderId="51" xfId="0" applyFont="1" applyBorder="1" applyAlignment="1">
      <alignment/>
    </xf>
    <xf numFmtId="0" fontId="2" fillId="0" borderId="47" xfId="0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0" fontId="2" fillId="0" borderId="52" xfId="0" applyFont="1" applyBorder="1" applyAlignment="1">
      <alignment horizontal="centerContinuous"/>
    </xf>
    <xf numFmtId="0" fontId="2" fillId="0" borderId="48" xfId="0" applyFont="1" applyBorder="1" applyAlignment="1">
      <alignment horizontal="centerContinuous"/>
    </xf>
    <xf numFmtId="0" fontId="2" fillId="0" borderId="51" xfId="0" applyFont="1" applyBorder="1" applyAlignment="1">
      <alignment horizontal="centerContinuous"/>
    </xf>
    <xf numFmtId="0" fontId="2" fillId="0" borderId="54" xfId="0" applyFont="1" applyBorder="1" applyAlignment="1">
      <alignment horizontal="centerContinuous"/>
    </xf>
    <xf numFmtId="182" fontId="2" fillId="0" borderId="51" xfId="0" applyNumberFormat="1" applyFont="1" applyBorder="1" applyAlignment="1">
      <alignment horizontal="right"/>
    </xf>
    <xf numFmtId="182" fontId="2" fillId="0" borderId="54" xfId="0" applyNumberFormat="1" applyFont="1" applyBorder="1" applyAlignment="1">
      <alignment horizontal="left"/>
    </xf>
    <xf numFmtId="182" fontId="2" fillId="0" borderId="48" xfId="0" applyNumberFormat="1" applyFont="1" applyBorder="1" applyAlignment="1">
      <alignment horizontal="left"/>
    </xf>
    <xf numFmtId="182" fontId="2" fillId="0" borderId="48" xfId="0" applyNumberFormat="1" applyFont="1" applyBorder="1" applyAlignment="1">
      <alignment/>
    </xf>
    <xf numFmtId="182" fontId="2" fillId="0" borderId="54" xfId="0" applyNumberFormat="1" applyFont="1" applyBorder="1" applyAlignment="1">
      <alignment/>
    </xf>
    <xf numFmtId="182" fontId="0" fillId="0" borderId="51" xfId="0" applyNumberFormat="1" applyBorder="1" applyAlignment="1">
      <alignment horizontal="left"/>
    </xf>
    <xf numFmtId="182" fontId="0" fillId="0" borderId="51" xfId="0" applyNumberFormat="1" applyFont="1" applyBorder="1" applyAlignment="1">
      <alignment horizontal="left"/>
    </xf>
    <xf numFmtId="1" fontId="10" fillId="0" borderId="44" xfId="0" applyNumberFormat="1" applyFont="1" applyFill="1" applyBorder="1" applyAlignment="1" applyProtection="1">
      <alignment horizontal="center" vertical="center"/>
      <protection locked="0"/>
    </xf>
    <xf numFmtId="0" fontId="0" fillId="13" borderId="0" xfId="0" applyFill="1" applyAlignment="1">
      <alignment/>
    </xf>
    <xf numFmtId="0" fontId="0" fillId="7" borderId="0" xfId="0" applyFill="1" applyAlignment="1">
      <alignment/>
    </xf>
    <xf numFmtId="0" fontId="34" fillId="14" borderId="55" xfId="0" applyFont="1" applyFill="1" applyBorder="1" applyAlignment="1" applyProtection="1">
      <alignment horizontal="center"/>
      <protection/>
    </xf>
    <xf numFmtId="0" fontId="35" fillId="14" borderId="56" xfId="0" applyFont="1" applyFill="1" applyBorder="1" applyAlignment="1" applyProtection="1">
      <alignment horizontal="right" vertical="center"/>
      <protection/>
    </xf>
    <xf numFmtId="2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" fontId="10" fillId="6" borderId="47" xfId="0" applyNumberFormat="1" applyFont="1" applyFill="1" applyBorder="1" applyAlignment="1" applyProtection="1">
      <alignment horizontal="center" vertical="center"/>
      <protection locked="0"/>
    </xf>
    <xf numFmtId="175" fontId="0" fillId="6" borderId="48" xfId="0" applyNumberFormat="1" applyFont="1" applyFill="1" applyBorder="1" applyAlignment="1" applyProtection="1">
      <alignment horizontal="right" vertical="center"/>
      <protection locked="0"/>
    </xf>
    <xf numFmtId="0" fontId="0" fillId="15" borderId="6" xfId="0" applyFont="1" applyFill="1" applyBorder="1" applyAlignment="1" applyProtection="1">
      <alignment horizontal="center"/>
      <protection/>
    </xf>
    <xf numFmtId="175" fontId="0" fillId="15" borderId="1" xfId="0" applyNumberFormat="1" applyFont="1" applyFill="1" applyBorder="1" applyAlignment="1" applyProtection="1">
      <alignment/>
      <protection/>
    </xf>
    <xf numFmtId="0" fontId="0" fillId="15" borderId="1" xfId="0" applyFont="1" applyFill="1" applyBorder="1" applyAlignment="1" applyProtection="1">
      <alignment/>
      <protection/>
    </xf>
    <xf numFmtId="2" fontId="0" fillId="15" borderId="15" xfId="0" applyNumberFormat="1" applyFont="1" applyFill="1" applyBorder="1" applyAlignment="1" applyProtection="1">
      <alignment/>
      <protection/>
    </xf>
    <xf numFmtId="2" fontId="0" fillId="15" borderId="38" xfId="0" applyNumberFormat="1" applyFont="1" applyFill="1" applyBorder="1" applyAlignment="1" applyProtection="1">
      <alignment/>
      <protection/>
    </xf>
    <xf numFmtId="0" fontId="36" fillId="8" borderId="44" xfId="0" applyFont="1" applyFill="1" applyBorder="1" applyAlignment="1" applyProtection="1">
      <alignment horizontal="center" vertical="center"/>
      <protection/>
    </xf>
    <xf numFmtId="0" fontId="0" fillId="16" borderId="6" xfId="0" applyFont="1" applyFill="1" applyBorder="1" applyAlignment="1" applyProtection="1">
      <alignment horizontal="center"/>
      <protection/>
    </xf>
    <xf numFmtId="0" fontId="0" fillId="16" borderId="1" xfId="0" applyFont="1" applyFill="1" applyBorder="1" applyAlignment="1" applyProtection="1">
      <alignment/>
      <protection/>
    </xf>
    <xf numFmtId="2" fontId="0" fillId="16" borderId="15" xfId="0" applyNumberFormat="1" applyFont="1" applyFill="1" applyBorder="1" applyAlignment="1" applyProtection="1">
      <alignment/>
      <protection/>
    </xf>
    <xf numFmtId="2" fontId="0" fillId="16" borderId="38" xfId="0" applyNumberFormat="1" applyFont="1" applyFill="1" applyBorder="1" applyAlignment="1" applyProtection="1">
      <alignment/>
      <protection/>
    </xf>
    <xf numFmtId="175" fontId="0" fillId="16" borderId="1" xfId="0" applyNumberFormat="1" applyFont="1" applyFill="1" applyBorder="1" applyAlignment="1" applyProtection="1">
      <alignment/>
      <protection/>
    </xf>
    <xf numFmtId="0" fontId="0" fillId="17" borderId="6" xfId="0" applyFont="1" applyFill="1" applyBorder="1" applyAlignment="1" applyProtection="1">
      <alignment horizontal="center"/>
      <protection/>
    </xf>
    <xf numFmtId="0" fontId="0" fillId="17" borderId="1" xfId="0" applyFont="1" applyFill="1" applyBorder="1" applyAlignment="1" applyProtection="1">
      <alignment/>
      <protection/>
    </xf>
    <xf numFmtId="2" fontId="0" fillId="17" borderId="15" xfId="0" applyNumberFormat="1" applyFont="1" applyFill="1" applyBorder="1" applyAlignment="1" applyProtection="1">
      <alignment/>
      <protection/>
    </xf>
    <xf numFmtId="2" fontId="0" fillId="17" borderId="38" xfId="0" applyNumberFormat="1" applyFont="1" applyFill="1" applyBorder="1" applyAlignment="1" applyProtection="1">
      <alignment/>
      <protection/>
    </xf>
    <xf numFmtId="0" fontId="0" fillId="8" borderId="37" xfId="0" applyFont="1" applyFill="1" applyBorder="1" applyAlignment="1" applyProtection="1">
      <alignment horizontal="center"/>
      <protection/>
    </xf>
    <xf numFmtId="175" fontId="0" fillId="8" borderId="14" xfId="0" applyNumberFormat="1" applyFont="1" applyFill="1" applyBorder="1" applyAlignment="1" applyProtection="1">
      <alignment/>
      <protection/>
    </xf>
    <xf numFmtId="0" fontId="0" fillId="8" borderId="14" xfId="0" applyFont="1" applyFill="1" applyBorder="1" applyAlignment="1" applyProtection="1">
      <alignment/>
      <protection/>
    </xf>
    <xf numFmtId="0" fontId="0" fillId="8" borderId="1" xfId="0" applyFont="1" applyFill="1" applyBorder="1" applyAlignment="1" applyProtection="1">
      <alignment/>
      <protection/>
    </xf>
    <xf numFmtId="2" fontId="0" fillId="8" borderId="15" xfId="0" applyNumberFormat="1" applyFont="1" applyFill="1" applyBorder="1" applyAlignment="1" applyProtection="1">
      <alignment/>
      <protection/>
    </xf>
    <xf numFmtId="2" fontId="0" fillId="8" borderId="38" xfId="0" applyNumberFormat="1" applyFont="1" applyFill="1" applyBorder="1" applyAlignment="1" applyProtection="1">
      <alignment/>
      <protection/>
    </xf>
    <xf numFmtId="174" fontId="0" fillId="8" borderId="44" xfId="0" applyNumberFormat="1" applyFont="1" applyFill="1" applyBorder="1" applyAlignment="1" applyProtection="1">
      <alignment horizontal="right" vertical="center"/>
      <protection locked="0"/>
    </xf>
    <xf numFmtId="1" fontId="0" fillId="3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/>
      <protection/>
    </xf>
    <xf numFmtId="174" fontId="0" fillId="18" borderId="44" xfId="0" applyNumberFormat="1" applyFont="1" applyFill="1" applyBorder="1" applyAlignment="1" applyProtection="1">
      <alignment horizontal="right" vertical="center"/>
      <protection locked="0"/>
    </xf>
    <xf numFmtId="174" fontId="0" fillId="18" borderId="47" xfId="0" applyNumberFormat="1" applyFont="1" applyFill="1" applyBorder="1" applyAlignment="1" applyProtection="1">
      <alignment horizontal="right" vertical="center"/>
      <protection locked="0"/>
    </xf>
    <xf numFmtId="174" fontId="0" fillId="18" borderId="44" xfId="0" applyNumberFormat="1" applyFont="1" applyFill="1" applyBorder="1" applyAlignment="1" applyProtection="1">
      <alignment horizontal="right" vertical="center"/>
      <protection locked="0"/>
    </xf>
    <xf numFmtId="174" fontId="0" fillId="18" borderId="48" xfId="0" applyNumberFormat="1" applyFont="1" applyFill="1" applyBorder="1" applyAlignment="1" applyProtection="1">
      <alignment horizontal="right" vertical="center"/>
      <protection locked="0"/>
    </xf>
    <xf numFmtId="174" fontId="0" fillId="17" borderId="44" xfId="0" applyNumberFormat="1" applyFont="1" applyFill="1" applyBorder="1" applyAlignment="1" applyProtection="1">
      <alignment horizontal="right" vertical="center"/>
      <protection locked="0"/>
    </xf>
    <xf numFmtId="174" fontId="0" fillId="17" borderId="48" xfId="0" applyNumberFormat="1" applyFont="1" applyFill="1" applyBorder="1" applyAlignment="1" applyProtection="1">
      <alignment horizontal="right" vertical="center"/>
      <protection locked="0"/>
    </xf>
    <xf numFmtId="174" fontId="0" fillId="17" borderId="44" xfId="0" applyNumberFormat="1" applyFont="1" applyFill="1" applyBorder="1" applyAlignment="1" applyProtection="1">
      <alignment horizontal="right" vertical="center"/>
      <protection locked="0"/>
    </xf>
    <xf numFmtId="174" fontId="0" fillId="17" borderId="48" xfId="0" applyNumberFormat="1" applyFont="1" applyFill="1" applyBorder="1" applyAlignment="1" applyProtection="1">
      <alignment horizontal="right" vertical="center"/>
      <protection locked="0"/>
    </xf>
    <xf numFmtId="0" fontId="2" fillId="0" borderId="44" xfId="0" applyFont="1" applyBorder="1" applyAlignment="1">
      <alignment horizontal="centerContinuous"/>
    </xf>
    <xf numFmtId="0" fontId="2" fillId="0" borderId="51" xfId="0" applyFont="1" applyBorder="1" applyAlignment="1">
      <alignment horizontal="center"/>
    </xf>
    <xf numFmtId="174" fontId="0" fillId="13" borderId="44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174" fontId="8" fillId="8" borderId="44" xfId="0" applyNumberFormat="1" applyFont="1" applyFill="1" applyBorder="1" applyAlignment="1" applyProtection="1">
      <alignment vertical="center"/>
      <protection/>
    </xf>
    <xf numFmtId="0" fontId="0" fillId="3" borderId="0" xfId="0" applyFont="1" applyFill="1" applyAlignment="1" applyProtection="1">
      <alignment/>
      <protection locked="0"/>
    </xf>
    <xf numFmtId="174" fontId="0" fillId="8" borderId="44" xfId="0" applyNumberFormat="1" applyFont="1" applyFill="1" applyBorder="1" applyAlignment="1" applyProtection="1">
      <alignment vertical="center"/>
      <protection/>
    </xf>
    <xf numFmtId="174" fontId="0" fillId="3" borderId="0" xfId="0" applyNumberFormat="1" applyFont="1" applyFill="1" applyBorder="1" applyAlignment="1" applyProtection="1">
      <alignment horizontal="right" vertical="center"/>
      <protection locked="0"/>
    </xf>
    <xf numFmtId="174" fontId="0" fillId="3" borderId="52" xfId="0" applyNumberFormat="1" applyFont="1" applyFill="1" applyBorder="1" applyAlignment="1" applyProtection="1">
      <alignment horizontal="right" vertical="center"/>
      <protection locked="0"/>
    </xf>
    <xf numFmtId="0" fontId="2" fillId="0" borderId="52" xfId="0" applyFont="1" applyBorder="1" applyAlignment="1">
      <alignment horizontal="center"/>
    </xf>
    <xf numFmtId="182" fontId="2" fillId="0" borderId="54" xfId="0" applyNumberFormat="1" applyFont="1" applyBorder="1" applyAlignment="1">
      <alignment horizontal="center"/>
    </xf>
    <xf numFmtId="182" fontId="2" fillId="0" borderId="48" xfId="0" applyNumberFormat="1" applyFont="1" applyBorder="1" applyAlignment="1">
      <alignment horizontal="center"/>
    </xf>
    <xf numFmtId="0" fontId="0" fillId="13" borderId="0" xfId="0" applyFont="1" applyFill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диаграмма статической и 
динамической остойчивости</a:t>
            </a:r>
          </a:p>
        </c:rich>
      </c:tx>
      <c:layout>
        <c:manualLayout>
          <c:xMode val="factor"/>
          <c:yMode val="factor"/>
          <c:x val="-0.15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3075"/>
          <c:w val="0.50225"/>
          <c:h val="0.81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ИГН!$AB$93:$AJ$93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ИГН!$AB$93:$AH$93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ИГН!$AB$94:$AJ$94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ИГН!$AB$95:$AH$95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ИГН!$AB$96:$AH$96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1"/>
        </c:ser>
        <c:axId val="51465840"/>
        <c:axId val="60539377"/>
      </c:lineChart>
      <c:catAx>
        <c:axId val="51465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углы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539377"/>
        <c:crosses val="autoZero"/>
        <c:auto val="0"/>
        <c:lblOffset val="100"/>
        <c:tickLblSkip val="10"/>
        <c:noMultiLvlLbl val="0"/>
      </c:catAx>
      <c:valAx>
        <c:axId val="605393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плечи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465840"/>
        <c:crossesAt val="1"/>
        <c:crossBetween val="midCat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"/>
          <c:w val="0.9305"/>
          <c:h val="0.87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ИГН!$AB$93:$AJ$93</c:f>
              <c:numCache/>
            </c:numRef>
          </c: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ИГН!$AB$94:$AJ$94</c:f>
              <c:numCache/>
            </c:numRef>
          </c: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ИГН!$AB$95:$AH$95</c:f>
              <c:numCache/>
            </c:numRef>
          </c: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ИГН!$AB$96:$AH$96</c:f>
              <c:numCache/>
            </c:numRef>
          </c:val>
          <c:smooth val="1"/>
        </c:ser>
        <c:axId val="7983482"/>
        <c:axId val="4742475"/>
      </c:lineChart>
      <c:catAx>
        <c:axId val="7983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углы  крена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42475"/>
        <c:crosses val="autoZero"/>
        <c:auto val="0"/>
        <c:lblOffset val="100"/>
        <c:tickLblSkip val="10"/>
        <c:noMultiLvlLbl val="0"/>
      </c:catAx>
      <c:valAx>
        <c:axId val="47424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плечи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983482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0.11475</cdr:x>
      <cdr:y>0.81025</cdr:y>
    </cdr:from>
    <cdr:to>
      <cdr:x>0.99925</cdr:x>
      <cdr:y>0.98975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2019300"/>
          <a:ext cx="46672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              10              20             30              40             50              60             70           80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428625</xdr:colOff>
      <xdr:row>94</xdr:row>
      <xdr:rowOff>95250</xdr:rowOff>
    </xdr:from>
    <xdr:to>
      <xdr:col>35</xdr:col>
      <xdr:colOff>561975</xdr:colOff>
      <xdr:row>107</xdr:row>
      <xdr:rowOff>38100</xdr:rowOff>
    </xdr:to>
    <xdr:graphicFrame>
      <xdr:nvGraphicFramePr>
        <xdr:cNvPr id="1" name="Chart 1"/>
        <xdr:cNvGraphicFramePr/>
      </xdr:nvGraphicFramePr>
      <xdr:xfrm>
        <a:off x="20869275" y="16030575"/>
        <a:ext cx="49339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19050</xdr:rowOff>
    </xdr:from>
    <xdr:to>
      <xdr:col>6</xdr:col>
      <xdr:colOff>152400</xdr:colOff>
      <xdr:row>39</xdr:row>
      <xdr:rowOff>142875</xdr:rowOff>
    </xdr:to>
    <xdr:graphicFrame>
      <xdr:nvGraphicFramePr>
        <xdr:cNvPr id="2" name="Chart 3"/>
        <xdr:cNvGraphicFramePr/>
      </xdr:nvGraphicFramePr>
      <xdr:xfrm>
        <a:off x="0" y="4676775"/>
        <a:ext cx="52768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18</xdr:row>
      <xdr:rowOff>0</xdr:rowOff>
    </xdr:from>
    <xdr:to>
      <xdr:col>4</xdr:col>
      <xdr:colOff>9525</xdr:colOff>
      <xdr:row>23</xdr:row>
      <xdr:rowOff>152400</xdr:rowOff>
    </xdr:to>
    <xdr:sp>
      <xdr:nvSpPr>
        <xdr:cNvPr id="1" name="Line 13"/>
        <xdr:cNvSpPr>
          <a:spLocks/>
        </xdr:cNvSpPr>
      </xdr:nvSpPr>
      <xdr:spPr>
        <a:xfrm flipH="1" flipV="1">
          <a:off x="3057525" y="3295650"/>
          <a:ext cx="695325" cy="1057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18</xdr:row>
      <xdr:rowOff>0</xdr:rowOff>
    </xdr:from>
    <xdr:to>
      <xdr:col>4</xdr:col>
      <xdr:colOff>9525</xdr:colOff>
      <xdr:row>23</xdr:row>
      <xdr:rowOff>152400</xdr:rowOff>
    </xdr:to>
    <xdr:sp>
      <xdr:nvSpPr>
        <xdr:cNvPr id="1" name="Line 4"/>
        <xdr:cNvSpPr>
          <a:spLocks/>
        </xdr:cNvSpPr>
      </xdr:nvSpPr>
      <xdr:spPr>
        <a:xfrm flipH="1" flipV="1">
          <a:off x="2352675" y="3333750"/>
          <a:ext cx="695325" cy="1057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9525</xdr:colOff>
      <xdr:row>23</xdr:row>
      <xdr:rowOff>152400</xdr:rowOff>
    </xdr:to>
    <xdr:sp>
      <xdr:nvSpPr>
        <xdr:cNvPr id="2" name="Line 5"/>
        <xdr:cNvSpPr>
          <a:spLocks/>
        </xdr:cNvSpPr>
      </xdr:nvSpPr>
      <xdr:spPr>
        <a:xfrm flipH="1" flipV="1">
          <a:off x="2352675" y="3333750"/>
          <a:ext cx="695325" cy="1057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0"/>
  <sheetViews>
    <sheetView tabSelected="1" workbookViewId="0" topLeftCell="A44">
      <selection activeCell="B4" sqref="B4"/>
    </sheetView>
  </sheetViews>
  <sheetFormatPr defaultColWidth="9.00390625" defaultRowHeight="12.75"/>
  <cols>
    <col min="1" max="9" width="8.375" style="150" customWidth="1"/>
    <col min="10" max="10" width="7.00390625" style="150" bestFit="1" customWidth="1"/>
    <col min="11" max="22" width="6.625" style="175" hidden="1" customWidth="1"/>
    <col min="23" max="23" width="10.75390625" style="150" hidden="1" customWidth="1"/>
    <col min="24" max="27" width="9.125" style="150" hidden="1" customWidth="1"/>
    <col min="28" max="28" width="6.375" style="150" hidden="1" customWidth="1"/>
    <col min="29" max="38" width="9.125" style="150" hidden="1" customWidth="1"/>
    <col min="39" max="39" width="11.00390625" style="150" hidden="1" customWidth="1"/>
    <col min="40" max="40" width="9.125" style="150" hidden="1" customWidth="1"/>
    <col min="41" max="41" width="9.125" style="179" hidden="1" customWidth="1"/>
    <col min="42" max="42" width="9.00390625" style="150" hidden="1" customWidth="1"/>
    <col min="43" max="46" width="9.125" style="150" hidden="1" customWidth="1"/>
    <col min="47" max="48" width="9.125" style="150" customWidth="1"/>
    <col min="49" max="49" width="8.75390625" style="150" customWidth="1"/>
    <col min="50" max="16384" width="9.125" style="150" customWidth="1"/>
  </cols>
  <sheetData>
    <row r="1" spans="1:54" ht="13.5" thickBo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52"/>
      <c r="AW1" s="152"/>
      <c r="AX1" s="152"/>
      <c r="BB1" s="153"/>
    </row>
    <row r="2" spans="1:54" ht="18.75">
      <c r="A2" s="149"/>
      <c r="C2" s="154" t="s">
        <v>1</v>
      </c>
      <c r="D2" s="155"/>
      <c r="E2" s="155"/>
      <c r="F2" s="155"/>
      <c r="G2" s="155"/>
      <c r="I2" s="149"/>
      <c r="J2" s="149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49"/>
      <c r="X2" s="156" t="s">
        <v>2</v>
      </c>
      <c r="Y2" s="157" t="s">
        <v>3</v>
      </c>
      <c r="Z2" s="158" t="s">
        <v>4</v>
      </c>
      <c r="AA2" s="158" t="s">
        <v>5</v>
      </c>
      <c r="AC2" s="157" t="s">
        <v>3</v>
      </c>
      <c r="AD2" s="158" t="s">
        <v>4</v>
      </c>
      <c r="AE2" s="159" t="s">
        <v>5</v>
      </c>
      <c r="AF2" s="153"/>
      <c r="AG2" s="160" t="s">
        <v>6</v>
      </c>
      <c r="AH2" s="161" t="s">
        <v>7</v>
      </c>
      <c r="AI2" s="161" t="s">
        <v>8</v>
      </c>
      <c r="AJ2" s="161" t="s">
        <v>9</v>
      </c>
      <c r="AK2" s="161" t="s">
        <v>10</v>
      </c>
      <c r="AL2" s="161" t="s">
        <v>11</v>
      </c>
      <c r="AM2" s="161" t="s">
        <v>12</v>
      </c>
      <c r="AN2" s="161" t="s">
        <v>13</v>
      </c>
      <c r="AO2" s="162" t="s">
        <v>14</v>
      </c>
      <c r="AP2" s="162" t="s">
        <v>15</v>
      </c>
      <c r="AQ2" s="162" t="s">
        <v>16</v>
      </c>
      <c r="AR2" s="163" t="s">
        <v>17</v>
      </c>
      <c r="AT2" s="152"/>
      <c r="AU2" s="153"/>
      <c r="AV2" s="152"/>
      <c r="AW2" s="152"/>
      <c r="AX2" s="152"/>
      <c r="BB2" s="153"/>
    </row>
    <row r="3" spans="1:54" ht="15.75">
      <c r="A3" s="164" t="s">
        <v>18</v>
      </c>
      <c r="B3" s="85">
        <v>37393</v>
      </c>
      <c r="C3" s="165"/>
      <c r="D3" s="149"/>
      <c r="E3" s="274" t="s">
        <v>19</v>
      </c>
      <c r="F3" s="149"/>
      <c r="G3" s="164" t="s">
        <v>20</v>
      </c>
      <c r="H3" s="90" t="s">
        <v>24</v>
      </c>
      <c r="I3" s="149"/>
      <c r="J3" s="149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49"/>
      <c r="X3" s="167" t="s">
        <v>21</v>
      </c>
      <c r="Y3" s="168">
        <f>SUM(V18:V26)</f>
        <v>35.3</v>
      </c>
      <c r="Z3" s="160">
        <v>26.48</v>
      </c>
      <c r="AA3" s="169">
        <f aca="true" t="shared" si="0" ref="AA3:AA8">Y3*Z3</f>
        <v>934.7439999999999</v>
      </c>
      <c r="AC3" s="170">
        <f>SUM(V6:V14)</f>
        <v>26.400000000000002</v>
      </c>
      <c r="AD3" s="161">
        <v>26.3</v>
      </c>
      <c r="AE3" s="284">
        <f aca="true" t="shared" si="1" ref="AE3:AE8">AC3*AD3</f>
        <v>694.32</v>
      </c>
      <c r="AG3" s="161">
        <v>1500</v>
      </c>
      <c r="AH3" s="161">
        <v>1.66</v>
      </c>
      <c r="AI3" s="161">
        <v>9.5</v>
      </c>
      <c r="AJ3" s="161">
        <v>50.18</v>
      </c>
      <c r="AK3" s="161">
        <v>9.8</v>
      </c>
      <c r="AL3" s="161">
        <v>5.04</v>
      </c>
      <c r="AM3" s="161">
        <v>7000</v>
      </c>
      <c r="AN3" s="161">
        <v>0.29</v>
      </c>
      <c r="AO3" s="171">
        <v>3</v>
      </c>
      <c r="AP3" s="172">
        <v>9500</v>
      </c>
      <c r="AQ3" s="171">
        <v>3.73</v>
      </c>
      <c r="AR3" s="173">
        <v>7930</v>
      </c>
      <c r="AT3" s="152"/>
      <c r="AU3" s="153"/>
      <c r="AV3" s="152"/>
      <c r="AW3" s="152"/>
      <c r="AX3" s="152"/>
      <c r="BB3" s="153"/>
    </row>
    <row r="4" spans="1:54" ht="15">
      <c r="A4" s="149"/>
      <c r="B4" s="149"/>
      <c r="C4" s="174"/>
      <c r="D4" s="149"/>
      <c r="E4" s="175" t="s">
        <v>22</v>
      </c>
      <c r="F4" s="84" t="s">
        <v>366</v>
      </c>
      <c r="G4" s="153"/>
      <c r="H4" s="275" t="s">
        <v>23</v>
      </c>
      <c r="I4" s="419" t="s">
        <v>291</v>
      </c>
      <c r="J4" s="149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49"/>
      <c r="X4" s="176" t="s">
        <v>25</v>
      </c>
      <c r="Y4" s="168">
        <f>SUM(U18:U26)</f>
        <v>112</v>
      </c>
      <c r="Z4" s="160">
        <v>23.41</v>
      </c>
      <c r="AA4" s="169">
        <f t="shared" si="0"/>
        <v>2621.92</v>
      </c>
      <c r="AC4" s="170">
        <f>SUM(U6:U14)</f>
        <v>0</v>
      </c>
      <c r="AD4" s="161">
        <v>23.235</v>
      </c>
      <c r="AE4" s="284">
        <f t="shared" si="1"/>
        <v>0</v>
      </c>
      <c r="AG4" s="177">
        <v>1600</v>
      </c>
      <c r="AH4" s="177">
        <v>1.76</v>
      </c>
      <c r="AI4" s="177">
        <v>9.52</v>
      </c>
      <c r="AJ4" s="177">
        <v>50.69</v>
      </c>
      <c r="AK4" s="177">
        <v>9.34</v>
      </c>
      <c r="AL4" s="177">
        <v>4.56</v>
      </c>
      <c r="AM4" s="177">
        <v>7500</v>
      </c>
      <c r="AN4" s="178">
        <v>0.31</v>
      </c>
      <c r="AO4" s="171">
        <v>3.3</v>
      </c>
      <c r="AP4" s="172">
        <v>9490</v>
      </c>
      <c r="AQ4" s="171">
        <v>3.69</v>
      </c>
      <c r="AR4" s="173">
        <v>8870</v>
      </c>
      <c r="AT4" s="152"/>
      <c r="AU4" s="153"/>
      <c r="AV4" s="152"/>
      <c r="AW4" s="152"/>
      <c r="AX4" s="152"/>
      <c r="BB4" s="153"/>
    </row>
    <row r="5" spans="2:54" ht="14.25">
      <c r="B5" s="149"/>
      <c r="C5" s="149"/>
      <c r="D5" s="149"/>
      <c r="E5" s="149"/>
      <c r="G5" s="149"/>
      <c r="H5" s="149"/>
      <c r="I5" s="149"/>
      <c r="J5" s="149"/>
      <c r="K5" s="166" t="s">
        <v>26</v>
      </c>
      <c r="L5" s="166" t="s">
        <v>27</v>
      </c>
      <c r="M5" s="166" t="s">
        <v>28</v>
      </c>
      <c r="N5" s="166" t="s">
        <v>29</v>
      </c>
      <c r="O5" s="166" t="s">
        <v>30</v>
      </c>
      <c r="P5" s="166" t="s">
        <v>31</v>
      </c>
      <c r="Q5" s="166" t="s">
        <v>32</v>
      </c>
      <c r="R5" s="166" t="s">
        <v>33</v>
      </c>
      <c r="S5" s="166" t="s">
        <v>34</v>
      </c>
      <c r="T5" s="166" t="s">
        <v>35</v>
      </c>
      <c r="U5" s="166" t="s">
        <v>36</v>
      </c>
      <c r="V5" s="166" t="s">
        <v>37</v>
      </c>
      <c r="W5" s="149"/>
      <c r="X5" s="176" t="s">
        <v>38</v>
      </c>
      <c r="Y5" s="168">
        <f>SUM(T18:T26)</f>
        <v>93.2</v>
      </c>
      <c r="Z5" s="160">
        <v>20.34</v>
      </c>
      <c r="AA5" s="169">
        <f t="shared" si="0"/>
        <v>1895.688</v>
      </c>
      <c r="AC5" s="170">
        <f>SUM(T6:T14)</f>
        <v>22.1</v>
      </c>
      <c r="AD5" s="161">
        <v>20.17</v>
      </c>
      <c r="AE5" s="284">
        <f t="shared" si="1"/>
        <v>445.75700000000006</v>
      </c>
      <c r="AG5" s="161">
        <v>1700</v>
      </c>
      <c r="AH5" s="161">
        <v>1.86</v>
      </c>
      <c r="AI5" s="161">
        <v>9.54</v>
      </c>
      <c r="AJ5" s="161">
        <v>50.86</v>
      </c>
      <c r="AK5" s="161">
        <v>8.9</v>
      </c>
      <c r="AL5" s="161">
        <v>4.04</v>
      </c>
      <c r="AM5" s="161">
        <v>8160</v>
      </c>
      <c r="AN5" s="161">
        <v>0.33</v>
      </c>
      <c r="AO5" s="171">
        <v>3.27</v>
      </c>
      <c r="AP5" s="172">
        <v>9470</v>
      </c>
      <c r="AQ5" s="171">
        <v>3.66</v>
      </c>
      <c r="AR5" s="173">
        <v>8810</v>
      </c>
      <c r="AS5" s="179"/>
      <c r="AT5" s="152"/>
      <c r="AU5" s="153"/>
      <c r="AV5" s="152"/>
      <c r="AW5" s="152"/>
      <c r="AX5" s="152"/>
      <c r="BB5" s="153"/>
    </row>
    <row r="6" spans="1:54" ht="14.25">
      <c r="A6" s="410">
        <v>0</v>
      </c>
      <c r="B6" s="410">
        <v>0</v>
      </c>
      <c r="C6" s="379">
        <v>40</v>
      </c>
      <c r="D6" s="380">
        <v>4</v>
      </c>
      <c r="E6" s="180" t="s">
        <v>39</v>
      </c>
      <c r="F6" s="410">
        <v>0</v>
      </c>
      <c r="G6" s="330">
        <v>23.3</v>
      </c>
      <c r="H6" s="411">
        <v>2.3</v>
      </c>
      <c r="I6" s="416">
        <v>3.3</v>
      </c>
      <c r="J6" s="181"/>
      <c r="K6" s="166">
        <f>IF(A6=40,0,A6)</f>
        <v>0</v>
      </c>
      <c r="L6" s="166">
        <f>IF(A6=40,B6,0)</f>
        <v>0</v>
      </c>
      <c r="M6" s="166">
        <f>IF(A6=40,0,B6)</f>
        <v>0</v>
      </c>
      <c r="N6" s="166">
        <f>IF(C6=40,0,C6)</f>
        <v>0</v>
      </c>
      <c r="O6" s="166">
        <f>IF(C6=40,D6,0)</f>
        <v>4</v>
      </c>
      <c r="P6" s="166">
        <f>IF(C6=40,0,D6)</f>
        <v>0</v>
      </c>
      <c r="Q6" s="166">
        <f>IF(F6=40,0,F6)</f>
        <v>0</v>
      </c>
      <c r="R6" s="166">
        <f>IF(F6=40,G6,0)</f>
        <v>0</v>
      </c>
      <c r="S6" s="166">
        <f>IF(F6=40,0,G6)</f>
        <v>23.3</v>
      </c>
      <c r="T6" s="166">
        <f>IF(H6=40,0,H6)</f>
        <v>2.3</v>
      </c>
      <c r="U6" s="166">
        <f>IF(H6=40,I6,0)</f>
        <v>0</v>
      </c>
      <c r="V6" s="166">
        <f>IF(H6=40,0,I6)</f>
        <v>3.3</v>
      </c>
      <c r="W6" s="181"/>
      <c r="X6" s="176" t="s">
        <v>40</v>
      </c>
      <c r="Y6" s="168">
        <f>SUM(S18:S26)</f>
        <v>93.2</v>
      </c>
      <c r="Z6" s="160">
        <v>14.21</v>
      </c>
      <c r="AA6" s="169">
        <f t="shared" si="0"/>
        <v>1324.372</v>
      </c>
      <c r="AC6" s="170">
        <f>SUM(S6:S14)</f>
        <v>186.40000000000003</v>
      </c>
      <c r="AD6" s="161">
        <v>14.03</v>
      </c>
      <c r="AE6" s="284">
        <f t="shared" si="1"/>
        <v>2615.1920000000005</v>
      </c>
      <c r="AG6" s="161">
        <v>1800</v>
      </c>
      <c r="AH6" s="161">
        <v>1.97</v>
      </c>
      <c r="AI6" s="161">
        <v>9.61</v>
      </c>
      <c r="AJ6" s="161">
        <v>51.94</v>
      </c>
      <c r="AK6" s="161">
        <v>8.56</v>
      </c>
      <c r="AL6" s="161">
        <v>3.56</v>
      </c>
      <c r="AM6" s="161">
        <v>8890</v>
      </c>
      <c r="AN6" s="161">
        <v>0.35</v>
      </c>
      <c r="AO6" s="171">
        <v>3.24</v>
      </c>
      <c r="AP6" s="172">
        <v>9470</v>
      </c>
      <c r="AQ6" s="171">
        <v>3.63</v>
      </c>
      <c r="AR6" s="173">
        <v>8800</v>
      </c>
      <c r="AS6" s="182">
        <f>SUM(K6:V6)*-3.7</f>
        <v>-121.73</v>
      </c>
      <c r="AT6" s="182">
        <f>SUM(K6:V6)*-1</f>
        <v>-32.9</v>
      </c>
      <c r="AU6" s="153"/>
      <c r="AV6" s="152"/>
      <c r="AW6" s="152"/>
      <c r="AX6" s="152"/>
      <c r="BB6" s="153"/>
    </row>
    <row r="7" spans="1:54" ht="14.25">
      <c r="A7" s="410">
        <v>0</v>
      </c>
      <c r="B7" s="410">
        <v>0</v>
      </c>
      <c r="C7" s="379">
        <v>40</v>
      </c>
      <c r="D7" s="380">
        <v>4</v>
      </c>
      <c r="E7" s="183" t="s">
        <v>41</v>
      </c>
      <c r="F7" s="410">
        <v>0</v>
      </c>
      <c r="G7" s="330">
        <v>23.3</v>
      </c>
      <c r="H7" s="416">
        <v>3.3</v>
      </c>
      <c r="I7" s="416">
        <v>3.3</v>
      </c>
      <c r="J7" s="184"/>
      <c r="K7" s="166">
        <f aca="true" t="shared" si="2" ref="K7:K21">IF(A7=40,0,A7)</f>
        <v>0</v>
      </c>
      <c r="L7" s="166">
        <f aca="true" t="shared" si="3" ref="L7:L21">IF(A7=40,B7,0)</f>
        <v>0</v>
      </c>
      <c r="M7" s="166">
        <f aca="true" t="shared" si="4" ref="M7:M21">IF(A7=40,0,B7)</f>
        <v>0</v>
      </c>
      <c r="N7" s="166">
        <f aca="true" t="shared" si="5" ref="N7:N21">IF(C7=40,0,C7)</f>
        <v>0</v>
      </c>
      <c r="O7" s="166">
        <f aca="true" t="shared" si="6" ref="O7:O21">IF(C7=40,D7,0)</f>
        <v>4</v>
      </c>
      <c r="P7" s="166">
        <f aca="true" t="shared" si="7" ref="P7:P21">IF(C7=40,0,D7)</f>
        <v>0</v>
      </c>
      <c r="Q7" s="166">
        <f aca="true" t="shared" si="8" ref="Q7:Q21">IF(F7=40,0,F7)</f>
        <v>0</v>
      </c>
      <c r="R7" s="166">
        <f aca="true" t="shared" si="9" ref="R7:R21">IF(F7=40,G7,0)</f>
        <v>0</v>
      </c>
      <c r="S7" s="166">
        <f aca="true" t="shared" si="10" ref="S7:S21">IF(F7=40,0,G7)</f>
        <v>23.3</v>
      </c>
      <c r="T7" s="166">
        <f aca="true" t="shared" si="11" ref="T7:T21">IF(H7=40,0,H7)</f>
        <v>3.3</v>
      </c>
      <c r="U7" s="166">
        <f aca="true" t="shared" si="12" ref="U7:U21">IF(H7=40,I7,0)</f>
        <v>0</v>
      </c>
      <c r="V7" s="166">
        <f aca="true" t="shared" si="13" ref="V7:V21">IF(H7=40,0,I7)</f>
        <v>3.3</v>
      </c>
      <c r="W7" s="184"/>
      <c r="X7" s="176" t="s">
        <v>42</v>
      </c>
      <c r="Y7" s="168">
        <f>SUM(R18:R26)</f>
        <v>112</v>
      </c>
      <c r="Z7" s="160">
        <v>11.145</v>
      </c>
      <c r="AA7" s="169">
        <f t="shared" si="0"/>
        <v>1248.24</v>
      </c>
      <c r="AC7" s="170">
        <f>SUM(R6:R14)</f>
        <v>0</v>
      </c>
      <c r="AD7" s="161">
        <v>10.965</v>
      </c>
      <c r="AE7" s="284">
        <f t="shared" si="1"/>
        <v>0</v>
      </c>
      <c r="AF7" s="153"/>
      <c r="AG7" s="161">
        <v>1900</v>
      </c>
      <c r="AH7" s="161">
        <v>2.07</v>
      </c>
      <c r="AI7" s="161">
        <v>9.67</v>
      </c>
      <c r="AJ7" s="161">
        <v>52.82</v>
      </c>
      <c r="AK7" s="161">
        <v>8.29</v>
      </c>
      <c r="AL7" s="161">
        <v>3.1</v>
      </c>
      <c r="AM7" s="161">
        <v>9700</v>
      </c>
      <c r="AN7" s="161">
        <v>0.36</v>
      </c>
      <c r="AO7" s="171">
        <v>3.22</v>
      </c>
      <c r="AP7" s="172">
        <v>9480</v>
      </c>
      <c r="AQ7" s="171">
        <v>3.6</v>
      </c>
      <c r="AR7" s="173">
        <v>8780</v>
      </c>
      <c r="AS7" s="190">
        <f>SUM(K7:V7)*-1.23</f>
        <v>-41.696999999999996</v>
      </c>
      <c r="AT7" s="182">
        <f>SUM(K7:V7)*-1</f>
        <v>-33.9</v>
      </c>
      <c r="AU7" s="153"/>
      <c r="AV7" s="152"/>
      <c r="AW7" s="152"/>
      <c r="AX7" s="152"/>
      <c r="BB7" s="153"/>
    </row>
    <row r="8" spans="1:54" ht="15" thickBot="1">
      <c r="A8" s="410">
        <v>0</v>
      </c>
      <c r="B8" s="410">
        <v>0</v>
      </c>
      <c r="C8" s="379">
        <v>40</v>
      </c>
      <c r="D8" s="380">
        <v>4</v>
      </c>
      <c r="E8" s="166" t="s">
        <v>43</v>
      </c>
      <c r="F8" s="410">
        <v>0</v>
      </c>
      <c r="G8" s="330">
        <v>23.3</v>
      </c>
      <c r="H8" s="416">
        <v>3.3</v>
      </c>
      <c r="I8" s="416">
        <v>3.3</v>
      </c>
      <c r="J8" s="166"/>
      <c r="K8" s="166">
        <f t="shared" si="2"/>
        <v>0</v>
      </c>
      <c r="L8" s="166">
        <f t="shared" si="3"/>
        <v>0</v>
      </c>
      <c r="M8" s="166">
        <f t="shared" si="4"/>
        <v>0</v>
      </c>
      <c r="N8" s="166">
        <f t="shared" si="5"/>
        <v>0</v>
      </c>
      <c r="O8" s="166">
        <f t="shared" si="6"/>
        <v>4</v>
      </c>
      <c r="P8" s="166">
        <f t="shared" si="7"/>
        <v>0</v>
      </c>
      <c r="Q8" s="166">
        <f t="shared" si="8"/>
        <v>0</v>
      </c>
      <c r="R8" s="166">
        <f t="shared" si="9"/>
        <v>0</v>
      </c>
      <c r="S8" s="166">
        <f t="shared" si="10"/>
        <v>23.3</v>
      </c>
      <c r="T8" s="166">
        <f t="shared" si="11"/>
        <v>3.3</v>
      </c>
      <c r="U8" s="166">
        <f t="shared" si="12"/>
        <v>0</v>
      </c>
      <c r="V8" s="166">
        <f t="shared" si="13"/>
        <v>3.3</v>
      </c>
      <c r="W8" s="166"/>
      <c r="X8" s="176" t="s">
        <v>44</v>
      </c>
      <c r="Y8" s="168">
        <f>SUM(Q18:Q26)</f>
        <v>93.2</v>
      </c>
      <c r="Z8" s="160">
        <v>8.08</v>
      </c>
      <c r="AA8" s="169">
        <f t="shared" si="0"/>
        <v>753.056</v>
      </c>
      <c r="AC8" s="170">
        <f>SUM(Q6:Q14)</f>
        <v>93.2</v>
      </c>
      <c r="AD8" s="161">
        <v>7.9</v>
      </c>
      <c r="AE8" s="284">
        <f t="shared" si="1"/>
        <v>736.2800000000001</v>
      </c>
      <c r="AG8" s="161">
        <v>2000</v>
      </c>
      <c r="AH8" s="161">
        <v>2.17</v>
      </c>
      <c r="AI8" s="161">
        <v>9.7</v>
      </c>
      <c r="AJ8" s="161">
        <v>53.47</v>
      </c>
      <c r="AK8" s="161">
        <v>8.02</v>
      </c>
      <c r="AL8" s="161">
        <v>2.72</v>
      </c>
      <c r="AM8" s="161">
        <v>10440</v>
      </c>
      <c r="AN8" s="161">
        <v>0.37</v>
      </c>
      <c r="AO8" s="171">
        <v>3.19</v>
      </c>
      <c r="AP8" s="172">
        <v>9490</v>
      </c>
      <c r="AQ8" s="171">
        <v>3.57</v>
      </c>
      <c r="AR8" s="173">
        <v>8770</v>
      </c>
      <c r="AS8" s="182">
        <f>SUM(K8:V8)*1.23</f>
        <v>41.696999999999996</v>
      </c>
      <c r="AT8" s="182">
        <f>SUM(K8:V8)</f>
        <v>33.9</v>
      </c>
      <c r="AU8" s="153"/>
      <c r="AV8" s="152"/>
      <c r="AW8" s="152"/>
      <c r="AX8" s="152"/>
      <c r="BB8" s="153"/>
    </row>
    <row r="9" spans="1:54" ht="15" thickBot="1">
      <c r="A9" s="410">
        <v>0</v>
      </c>
      <c r="B9" s="410">
        <v>0</v>
      </c>
      <c r="C9" s="379">
        <v>40</v>
      </c>
      <c r="D9" s="380">
        <v>4</v>
      </c>
      <c r="E9" s="194" t="s">
        <v>45</v>
      </c>
      <c r="F9" s="410">
        <v>0</v>
      </c>
      <c r="G9" s="330">
        <v>23.3</v>
      </c>
      <c r="H9" s="410">
        <v>0</v>
      </c>
      <c r="I9" s="416">
        <v>3.3</v>
      </c>
      <c r="J9" s="149"/>
      <c r="K9" s="166">
        <f t="shared" si="2"/>
        <v>0</v>
      </c>
      <c r="L9" s="166">
        <f t="shared" si="3"/>
        <v>0</v>
      </c>
      <c r="M9" s="166">
        <f t="shared" si="4"/>
        <v>0</v>
      </c>
      <c r="N9" s="166">
        <f t="shared" si="5"/>
        <v>0</v>
      </c>
      <c r="O9" s="166">
        <f t="shared" si="6"/>
        <v>4</v>
      </c>
      <c r="P9" s="166">
        <f t="shared" si="7"/>
        <v>0</v>
      </c>
      <c r="Q9" s="166">
        <f t="shared" si="8"/>
        <v>0</v>
      </c>
      <c r="R9" s="166">
        <f t="shared" si="9"/>
        <v>0</v>
      </c>
      <c r="S9" s="166">
        <f t="shared" si="10"/>
        <v>23.3</v>
      </c>
      <c r="T9" s="166">
        <f t="shared" si="11"/>
        <v>0</v>
      </c>
      <c r="U9" s="166">
        <f t="shared" si="12"/>
        <v>0</v>
      </c>
      <c r="V9" s="166">
        <f t="shared" si="13"/>
        <v>3.3</v>
      </c>
      <c r="W9" s="149"/>
      <c r="X9" s="185" t="s">
        <v>46</v>
      </c>
      <c r="Y9" s="186">
        <f>SUM(Y3:Y8)</f>
        <v>538.9</v>
      </c>
      <c r="Z9" s="187"/>
      <c r="AA9" s="188">
        <f>SUM(AA3:AA8)</f>
        <v>8778.02</v>
      </c>
      <c r="AC9" s="189">
        <f>SUM(AC3:AC8)</f>
        <v>328.1</v>
      </c>
      <c r="AD9" s="185"/>
      <c r="AE9" s="189">
        <f>SUM(AE3:AE8)</f>
        <v>4491.549000000001</v>
      </c>
      <c r="AG9" s="161">
        <v>2100</v>
      </c>
      <c r="AH9" s="161">
        <v>2.27</v>
      </c>
      <c r="AI9" s="161">
        <v>9.74</v>
      </c>
      <c r="AJ9" s="161">
        <v>53.92</v>
      </c>
      <c r="AK9" s="161">
        <v>7.76</v>
      </c>
      <c r="AL9" s="161">
        <v>2.32</v>
      </c>
      <c r="AM9" s="161">
        <v>11280</v>
      </c>
      <c r="AN9" s="161">
        <v>0.38</v>
      </c>
      <c r="AO9" s="171">
        <v>3.17</v>
      </c>
      <c r="AP9" s="172">
        <v>9490</v>
      </c>
      <c r="AQ9" s="171">
        <v>3.54</v>
      </c>
      <c r="AR9" s="173">
        <v>8770</v>
      </c>
      <c r="AS9" s="190">
        <f>SUM(K9:V9)*3.7</f>
        <v>113.22000000000001</v>
      </c>
      <c r="AT9" s="182">
        <f>SUM(K9:V9)</f>
        <v>30.6</v>
      </c>
      <c r="AU9" s="153"/>
      <c r="AV9" s="152"/>
      <c r="AW9" s="152"/>
      <c r="AX9" s="152"/>
      <c r="BB9" s="153"/>
    </row>
    <row r="10" spans="1:54" ht="14.25">
      <c r="A10" s="149"/>
      <c r="B10" s="287"/>
      <c r="C10" s="196" t="s">
        <v>47</v>
      </c>
      <c r="D10" s="149"/>
      <c r="E10" s="421"/>
      <c r="F10" s="422"/>
      <c r="G10" s="197" t="s">
        <v>48</v>
      </c>
      <c r="I10" s="149"/>
      <c r="J10" s="149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49"/>
      <c r="X10" s="191"/>
      <c r="Y10" s="192"/>
      <c r="Z10" s="192"/>
      <c r="AA10" s="193"/>
      <c r="AC10" s="153"/>
      <c r="AD10" s="153"/>
      <c r="AE10" s="153"/>
      <c r="AG10" s="161">
        <v>2200</v>
      </c>
      <c r="AH10" s="161">
        <v>2.36</v>
      </c>
      <c r="AI10" s="161">
        <v>9.79</v>
      </c>
      <c r="AJ10" s="161">
        <v>54.94</v>
      </c>
      <c r="AK10" s="161">
        <v>7.56</v>
      </c>
      <c r="AL10" s="161">
        <v>2.02</v>
      </c>
      <c r="AM10" s="161">
        <v>12000</v>
      </c>
      <c r="AN10" s="161">
        <v>0.38</v>
      </c>
      <c r="AO10" s="171">
        <v>3.15</v>
      </c>
      <c r="AP10" s="172">
        <v>9550</v>
      </c>
      <c r="AQ10" s="171">
        <v>3.51</v>
      </c>
      <c r="AR10" s="173">
        <v>8770</v>
      </c>
      <c r="AS10" s="182"/>
      <c r="AT10" s="182"/>
      <c r="AU10" s="153"/>
      <c r="AV10" s="152"/>
      <c r="AW10" s="152"/>
      <c r="AX10" s="152"/>
      <c r="BB10" s="153"/>
    </row>
    <row r="11" spans="1:54" ht="14.25">
      <c r="A11" s="379">
        <v>40</v>
      </c>
      <c r="B11" s="380">
        <v>4</v>
      </c>
      <c r="C11" s="410">
        <v>2.3</v>
      </c>
      <c r="D11" s="410">
        <v>2.3</v>
      </c>
      <c r="E11" s="194" t="s">
        <v>39</v>
      </c>
      <c r="F11" s="330">
        <v>23.3</v>
      </c>
      <c r="G11" s="330">
        <v>23.3</v>
      </c>
      <c r="H11" s="416">
        <v>3.3</v>
      </c>
      <c r="I11" s="416">
        <v>3.3</v>
      </c>
      <c r="J11" s="149"/>
      <c r="K11" s="166">
        <f t="shared" si="2"/>
        <v>0</v>
      </c>
      <c r="L11" s="166">
        <f t="shared" si="3"/>
        <v>4</v>
      </c>
      <c r="M11" s="166">
        <f t="shared" si="4"/>
        <v>0</v>
      </c>
      <c r="N11" s="166">
        <f t="shared" si="5"/>
        <v>2.3</v>
      </c>
      <c r="O11" s="166">
        <f t="shared" si="6"/>
        <v>0</v>
      </c>
      <c r="P11" s="166">
        <f t="shared" si="7"/>
        <v>2.3</v>
      </c>
      <c r="Q11" s="166">
        <f t="shared" si="8"/>
        <v>23.3</v>
      </c>
      <c r="R11" s="166">
        <f t="shared" si="9"/>
        <v>0</v>
      </c>
      <c r="S11" s="166">
        <f t="shared" si="10"/>
        <v>23.3</v>
      </c>
      <c r="T11" s="166">
        <f t="shared" si="11"/>
        <v>3.3</v>
      </c>
      <c r="U11" s="166">
        <f t="shared" si="12"/>
        <v>0</v>
      </c>
      <c r="V11" s="166">
        <f t="shared" si="13"/>
        <v>3.3</v>
      </c>
      <c r="W11" s="149"/>
      <c r="X11" s="176" t="s">
        <v>49</v>
      </c>
      <c r="Y11" s="168">
        <f>SUM(P18:P26)</f>
        <v>0</v>
      </c>
      <c r="Z11" s="160">
        <v>-0.62</v>
      </c>
      <c r="AA11" s="169">
        <f aca="true" t="shared" si="14" ref="AA11:AA16">Y11*Z11</f>
        <v>0</v>
      </c>
      <c r="AC11" s="195">
        <f>SUM(P6:P14)</f>
        <v>9.2</v>
      </c>
      <c r="AD11" s="161">
        <v>-0.34</v>
      </c>
      <c r="AE11" s="161">
        <f aca="true" t="shared" si="15" ref="AE11:AE16">AC11*AD11</f>
        <v>-3.128</v>
      </c>
      <c r="AG11" s="161">
        <v>2300</v>
      </c>
      <c r="AH11" s="161">
        <v>2.46</v>
      </c>
      <c r="AI11" s="161">
        <v>9.85</v>
      </c>
      <c r="AJ11" s="161">
        <v>56.03</v>
      </c>
      <c r="AK11" s="161">
        <v>7.37</v>
      </c>
      <c r="AL11" s="161">
        <v>1.78</v>
      </c>
      <c r="AM11" s="161">
        <v>12710</v>
      </c>
      <c r="AN11" s="161">
        <v>0.37</v>
      </c>
      <c r="AO11" s="171">
        <v>3.13</v>
      </c>
      <c r="AP11" s="172">
        <v>9590</v>
      </c>
      <c r="AQ11" s="171">
        <v>3.48</v>
      </c>
      <c r="AR11" s="173">
        <v>8790</v>
      </c>
      <c r="AS11" s="182">
        <f>SUM(K11:V11)*-3.7</f>
        <v>-228.66</v>
      </c>
      <c r="AT11" s="182">
        <f>SUM(K11:V11)*-1</f>
        <v>-61.8</v>
      </c>
      <c r="AU11" s="153"/>
      <c r="AV11" s="152"/>
      <c r="AW11" s="152"/>
      <c r="AX11" s="152"/>
      <c r="BB11" s="153"/>
    </row>
    <row r="12" spans="1:54" ht="14.25">
      <c r="A12" s="379">
        <v>40</v>
      </c>
      <c r="B12" s="380">
        <v>4</v>
      </c>
      <c r="C12" s="410">
        <v>2.3</v>
      </c>
      <c r="D12" s="410">
        <v>2.3</v>
      </c>
      <c r="E12" s="183" t="s">
        <v>50</v>
      </c>
      <c r="F12" s="330">
        <v>23.3</v>
      </c>
      <c r="G12" s="330">
        <v>23.3</v>
      </c>
      <c r="H12" s="416">
        <v>3.3</v>
      </c>
      <c r="I12" s="416">
        <v>3.3</v>
      </c>
      <c r="J12" s="184"/>
      <c r="K12" s="166">
        <f t="shared" si="2"/>
        <v>0</v>
      </c>
      <c r="L12" s="166">
        <f t="shared" si="3"/>
        <v>4</v>
      </c>
      <c r="M12" s="166">
        <f t="shared" si="4"/>
        <v>0</v>
      </c>
      <c r="N12" s="166">
        <f t="shared" si="5"/>
        <v>2.3</v>
      </c>
      <c r="O12" s="166">
        <f t="shared" si="6"/>
        <v>0</v>
      </c>
      <c r="P12" s="166">
        <f t="shared" si="7"/>
        <v>2.3</v>
      </c>
      <c r="Q12" s="166">
        <f t="shared" si="8"/>
        <v>23.3</v>
      </c>
      <c r="R12" s="166">
        <f t="shared" si="9"/>
        <v>0</v>
      </c>
      <c r="S12" s="166">
        <f t="shared" si="10"/>
        <v>23.3</v>
      </c>
      <c r="T12" s="166">
        <f t="shared" si="11"/>
        <v>3.3</v>
      </c>
      <c r="U12" s="166">
        <f t="shared" si="12"/>
        <v>0</v>
      </c>
      <c r="V12" s="166">
        <f t="shared" si="13"/>
        <v>3.3</v>
      </c>
      <c r="W12" s="184"/>
      <c r="X12" s="176" t="s">
        <v>51</v>
      </c>
      <c r="Y12" s="168">
        <f>SUM(O18:O26)</f>
        <v>224</v>
      </c>
      <c r="Z12" s="160">
        <v>-3.685</v>
      </c>
      <c r="AA12" s="169">
        <f t="shared" si="14"/>
        <v>-825.44</v>
      </c>
      <c r="AC12" s="195">
        <f>SUM(O6:O14)</f>
        <v>16</v>
      </c>
      <c r="AD12" s="161">
        <v>-3.405</v>
      </c>
      <c r="AE12" s="161">
        <f t="shared" si="15"/>
        <v>-54.48</v>
      </c>
      <c r="AG12" s="161">
        <v>2400</v>
      </c>
      <c r="AH12" s="161">
        <v>2.56</v>
      </c>
      <c r="AI12" s="161">
        <v>9.9</v>
      </c>
      <c r="AJ12" s="161">
        <v>56.54</v>
      </c>
      <c r="AK12" s="161">
        <v>7.2</v>
      </c>
      <c r="AL12" s="161">
        <v>1.61</v>
      </c>
      <c r="AM12" s="161">
        <v>13260</v>
      </c>
      <c r="AN12" s="161">
        <v>0.36</v>
      </c>
      <c r="AO12" s="171">
        <v>3.11</v>
      </c>
      <c r="AP12" s="172">
        <v>9650</v>
      </c>
      <c r="AQ12" s="171">
        <v>3.46</v>
      </c>
      <c r="AR12" s="173">
        <v>8840</v>
      </c>
      <c r="AS12" s="190">
        <f>SUM(K12:V12)*-1.23</f>
        <v>-76.014</v>
      </c>
      <c r="AT12" s="182">
        <f>SUM(K12:V12)*-1</f>
        <v>-61.8</v>
      </c>
      <c r="AU12" s="153"/>
      <c r="AV12" s="152"/>
      <c r="AW12" s="152"/>
      <c r="AX12" s="152"/>
      <c r="BB12" s="153"/>
    </row>
    <row r="13" spans="1:54" ht="14.25">
      <c r="A13" s="379">
        <v>40</v>
      </c>
      <c r="B13" s="380">
        <v>4</v>
      </c>
      <c r="C13" s="410">
        <v>2.3</v>
      </c>
      <c r="D13" s="410">
        <v>2.3</v>
      </c>
      <c r="E13" s="166" t="s">
        <v>52</v>
      </c>
      <c r="F13" s="330">
        <v>23.3</v>
      </c>
      <c r="G13" s="330">
        <v>23.3</v>
      </c>
      <c r="H13" s="416">
        <v>3.3</v>
      </c>
      <c r="I13" s="416">
        <v>3.3</v>
      </c>
      <c r="J13" s="166"/>
      <c r="K13" s="166">
        <f t="shared" si="2"/>
        <v>0</v>
      </c>
      <c r="L13" s="166">
        <f t="shared" si="3"/>
        <v>4</v>
      </c>
      <c r="M13" s="166">
        <f t="shared" si="4"/>
        <v>0</v>
      </c>
      <c r="N13" s="166">
        <f t="shared" si="5"/>
        <v>2.3</v>
      </c>
      <c r="O13" s="166">
        <f t="shared" si="6"/>
        <v>0</v>
      </c>
      <c r="P13" s="166">
        <f t="shared" si="7"/>
        <v>2.3</v>
      </c>
      <c r="Q13" s="166">
        <f t="shared" si="8"/>
        <v>23.3</v>
      </c>
      <c r="R13" s="166">
        <f t="shared" si="9"/>
        <v>0</v>
      </c>
      <c r="S13" s="166">
        <f t="shared" si="10"/>
        <v>23.3</v>
      </c>
      <c r="T13" s="166">
        <f t="shared" si="11"/>
        <v>3.3</v>
      </c>
      <c r="U13" s="166">
        <f t="shared" si="12"/>
        <v>0</v>
      </c>
      <c r="V13" s="166">
        <f t="shared" si="13"/>
        <v>3.3</v>
      </c>
      <c r="W13" s="166"/>
      <c r="X13" s="176" t="s">
        <v>53</v>
      </c>
      <c r="Y13" s="168">
        <f>SUM(N18:N26)</f>
        <v>0</v>
      </c>
      <c r="Z13" s="160">
        <v>-6.75</v>
      </c>
      <c r="AA13" s="169">
        <f t="shared" si="14"/>
        <v>0</v>
      </c>
      <c r="AC13" s="195">
        <f>SUM(N6:N14)</f>
        <v>9.2</v>
      </c>
      <c r="AD13" s="161">
        <v>-6.47</v>
      </c>
      <c r="AE13" s="161">
        <f t="shared" si="15"/>
        <v>-59.523999999999994</v>
      </c>
      <c r="AF13" s="153"/>
      <c r="AG13" s="161">
        <v>2500</v>
      </c>
      <c r="AH13" s="161">
        <v>2.66</v>
      </c>
      <c r="AI13" s="161">
        <v>9.94</v>
      </c>
      <c r="AJ13" s="161">
        <v>57.13</v>
      </c>
      <c r="AK13" s="161">
        <v>7.03</v>
      </c>
      <c r="AL13" s="161">
        <v>1.46</v>
      </c>
      <c r="AM13" s="161">
        <v>13750</v>
      </c>
      <c r="AN13" s="161">
        <v>0.36</v>
      </c>
      <c r="AO13" s="171">
        <v>3.09</v>
      </c>
      <c r="AP13" s="172">
        <v>9720</v>
      </c>
      <c r="AQ13" s="171">
        <v>3.43</v>
      </c>
      <c r="AR13" s="173">
        <v>8860</v>
      </c>
      <c r="AS13" s="182">
        <f>SUM(K13:V13)*1.23</f>
        <v>76.014</v>
      </c>
      <c r="AT13" s="182">
        <f>SUM(K13:V13)</f>
        <v>61.8</v>
      </c>
      <c r="AU13" s="153"/>
      <c r="AV13" s="152"/>
      <c r="AW13" s="152"/>
      <c r="AX13" s="152"/>
      <c r="BB13" s="153"/>
    </row>
    <row r="14" spans="1:54" ht="14.25">
      <c r="A14" s="379">
        <v>40</v>
      </c>
      <c r="B14" s="380">
        <v>4</v>
      </c>
      <c r="C14" s="410">
        <v>2.3</v>
      </c>
      <c r="D14" s="410">
        <v>2.3</v>
      </c>
      <c r="E14" s="180" t="s">
        <v>45</v>
      </c>
      <c r="F14" s="330">
        <v>23.3</v>
      </c>
      <c r="G14" s="330">
        <v>23.3</v>
      </c>
      <c r="H14" s="416">
        <v>3.3</v>
      </c>
      <c r="I14" s="416">
        <v>3.3</v>
      </c>
      <c r="J14" s="149"/>
      <c r="K14" s="166">
        <f t="shared" si="2"/>
        <v>0</v>
      </c>
      <c r="L14" s="166">
        <f t="shared" si="3"/>
        <v>4</v>
      </c>
      <c r="M14" s="166">
        <f t="shared" si="4"/>
        <v>0</v>
      </c>
      <c r="N14" s="166">
        <f t="shared" si="5"/>
        <v>2.3</v>
      </c>
      <c r="O14" s="166">
        <f t="shared" si="6"/>
        <v>0</v>
      </c>
      <c r="P14" s="166">
        <f t="shared" si="7"/>
        <v>2.3</v>
      </c>
      <c r="Q14" s="166">
        <f t="shared" si="8"/>
        <v>23.3</v>
      </c>
      <c r="R14" s="166">
        <f t="shared" si="9"/>
        <v>0</v>
      </c>
      <c r="S14" s="166">
        <f t="shared" si="10"/>
        <v>23.3</v>
      </c>
      <c r="T14" s="166">
        <f t="shared" si="11"/>
        <v>3.3</v>
      </c>
      <c r="U14" s="166">
        <f t="shared" si="12"/>
        <v>0</v>
      </c>
      <c r="V14" s="166">
        <f t="shared" si="13"/>
        <v>3.3</v>
      </c>
      <c r="W14" s="149"/>
      <c r="X14" s="176" t="s">
        <v>54</v>
      </c>
      <c r="Y14" s="168">
        <f>SUM(M18:M26)</f>
        <v>0</v>
      </c>
      <c r="Z14" s="160">
        <v>-12.88</v>
      </c>
      <c r="AA14" s="169">
        <f t="shared" si="14"/>
        <v>0</v>
      </c>
      <c r="AC14" s="195">
        <f>SUM(M6:M14)</f>
        <v>0</v>
      </c>
      <c r="AD14" s="198">
        <v>-12.61</v>
      </c>
      <c r="AE14" s="198">
        <f t="shared" si="15"/>
        <v>0</v>
      </c>
      <c r="AG14" s="161">
        <v>2600</v>
      </c>
      <c r="AH14" s="161">
        <v>2.75</v>
      </c>
      <c r="AI14" s="161">
        <v>9.98</v>
      </c>
      <c r="AJ14" s="161">
        <v>58.18</v>
      </c>
      <c r="AK14" s="161">
        <v>6.89</v>
      </c>
      <c r="AL14" s="161">
        <v>1.33</v>
      </c>
      <c r="AM14" s="161">
        <v>14280</v>
      </c>
      <c r="AN14" s="161">
        <v>0.35</v>
      </c>
      <c r="AO14" s="171">
        <v>3.07</v>
      </c>
      <c r="AP14" s="172">
        <v>9780</v>
      </c>
      <c r="AQ14" s="171">
        <v>3.41</v>
      </c>
      <c r="AR14" s="173">
        <v>8910</v>
      </c>
      <c r="AS14" s="190">
        <f>SUM(K14:V14)*3.7</f>
        <v>228.66</v>
      </c>
      <c r="AT14" s="182">
        <f>SUM(K14:V14)</f>
        <v>61.8</v>
      </c>
      <c r="AU14" s="153"/>
      <c r="AV14" s="152"/>
      <c r="AW14" s="152"/>
      <c r="AX14" s="152"/>
      <c r="BB14" s="153"/>
    </row>
    <row r="15" spans="1:54" ht="14.25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49"/>
      <c r="X15" s="176" t="s">
        <v>55</v>
      </c>
      <c r="Y15" s="168">
        <f>SUM(L18:L26)</f>
        <v>200</v>
      </c>
      <c r="Z15" s="160">
        <v>-15.95</v>
      </c>
      <c r="AA15" s="169">
        <f t="shared" si="14"/>
        <v>-3190</v>
      </c>
      <c r="AC15" s="195">
        <f>SUM(L6:L14)</f>
        <v>16</v>
      </c>
      <c r="AD15" s="198">
        <v>-15.675</v>
      </c>
      <c r="AE15" s="198">
        <f t="shared" si="15"/>
        <v>-250.8</v>
      </c>
      <c r="AG15" s="161">
        <v>2700</v>
      </c>
      <c r="AH15" s="161">
        <v>2.85</v>
      </c>
      <c r="AI15" s="161">
        <v>10</v>
      </c>
      <c r="AJ15" s="161">
        <v>59.15</v>
      </c>
      <c r="AK15" s="161">
        <v>6.76</v>
      </c>
      <c r="AL15" s="161">
        <v>1.22</v>
      </c>
      <c r="AM15" s="161">
        <v>14790</v>
      </c>
      <c r="AN15" s="161">
        <v>0.35</v>
      </c>
      <c r="AO15" s="171">
        <v>3.06</v>
      </c>
      <c r="AP15" s="172">
        <v>9910</v>
      </c>
      <c r="AQ15" s="171">
        <v>3.38</v>
      </c>
      <c r="AR15" s="173">
        <v>9000</v>
      </c>
      <c r="AS15" s="182"/>
      <c r="AT15" s="182"/>
      <c r="AU15" s="153"/>
      <c r="AV15" s="152"/>
      <c r="AW15" s="152"/>
      <c r="AX15" s="152"/>
      <c r="BB15" s="153"/>
    </row>
    <row r="16" spans="1:54" ht="15" thickBot="1">
      <c r="A16" s="207" t="s">
        <v>47</v>
      </c>
      <c r="B16" s="289">
        <f>SUM(K6:P14)</f>
        <v>50.39999999999999</v>
      </c>
      <c r="C16" s="181" t="s">
        <v>56</v>
      </c>
      <c r="D16" s="155" t="s">
        <v>57</v>
      </c>
      <c r="E16" s="208"/>
      <c r="F16" s="290">
        <f>B16+I16</f>
        <v>378.5000000000001</v>
      </c>
      <c r="G16" s="209" t="s">
        <v>56</v>
      </c>
      <c r="H16" s="210" t="s">
        <v>48</v>
      </c>
      <c r="I16" s="289">
        <f>SUM(Q6:V14)</f>
        <v>328.10000000000014</v>
      </c>
      <c r="J16" s="149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49"/>
      <c r="X16" s="199" t="s">
        <v>58</v>
      </c>
      <c r="Y16" s="200">
        <f>SUM(K18:K26)</f>
        <v>0</v>
      </c>
      <c r="Z16" s="201">
        <v>-19.02</v>
      </c>
      <c r="AA16" s="202">
        <f t="shared" si="14"/>
        <v>0</v>
      </c>
      <c r="AC16" s="195">
        <f>SUM(K6:K14)</f>
        <v>0</v>
      </c>
      <c r="AD16" s="198">
        <v>-18.74</v>
      </c>
      <c r="AE16" s="198">
        <f t="shared" si="15"/>
        <v>0</v>
      </c>
      <c r="AF16" s="149"/>
      <c r="AG16" s="198">
        <v>2800</v>
      </c>
      <c r="AH16" s="198">
        <v>2.95</v>
      </c>
      <c r="AI16" s="198">
        <v>10.1</v>
      </c>
      <c r="AJ16" s="198">
        <v>60</v>
      </c>
      <c r="AK16" s="198">
        <v>6.65</v>
      </c>
      <c r="AL16" s="198">
        <v>1.12</v>
      </c>
      <c r="AM16" s="198">
        <v>15320</v>
      </c>
      <c r="AN16" s="198">
        <v>0.34</v>
      </c>
      <c r="AO16" s="171">
        <v>3.04</v>
      </c>
      <c r="AP16" s="172">
        <v>10000</v>
      </c>
      <c r="AQ16" s="171">
        <v>3.36</v>
      </c>
      <c r="AR16" s="173">
        <v>9090</v>
      </c>
      <c r="AS16" s="182" t="s">
        <v>0</v>
      </c>
      <c r="AT16" s="182" t="s">
        <v>0</v>
      </c>
      <c r="AU16" s="153"/>
      <c r="AV16" s="152"/>
      <c r="AW16" s="152"/>
      <c r="AX16" s="152"/>
      <c r="BB16" s="153"/>
    </row>
    <row r="17" spans="1:54" ht="15" thickBot="1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49"/>
      <c r="X17" s="185" t="s">
        <v>46</v>
      </c>
      <c r="Y17" s="186">
        <f>SUM(Y11:Y16)</f>
        <v>424</v>
      </c>
      <c r="Z17" s="187"/>
      <c r="AA17" s="186">
        <f>SUM(AA11:AA16)</f>
        <v>-4015.44</v>
      </c>
      <c r="AC17" s="189">
        <f>SUM(AC11:AC16)</f>
        <v>50.4</v>
      </c>
      <c r="AD17" s="185"/>
      <c r="AE17" s="189">
        <f>SUM(AE11:AE16)</f>
        <v>-367.932</v>
      </c>
      <c r="AF17" s="149"/>
      <c r="AG17" s="198">
        <v>2900</v>
      </c>
      <c r="AH17" s="198">
        <v>3.04</v>
      </c>
      <c r="AI17" s="198">
        <v>10.1</v>
      </c>
      <c r="AJ17" s="198">
        <v>60.46</v>
      </c>
      <c r="AK17" s="198">
        <v>6.55</v>
      </c>
      <c r="AL17" s="198">
        <v>1.04</v>
      </c>
      <c r="AM17" s="198">
        <v>15900</v>
      </c>
      <c r="AN17" s="198">
        <v>0.34</v>
      </c>
      <c r="AO17" s="171">
        <v>3.03</v>
      </c>
      <c r="AP17" s="172">
        <v>10120</v>
      </c>
      <c r="AQ17" s="171">
        <v>3.34</v>
      </c>
      <c r="AR17" s="173">
        <v>9190</v>
      </c>
      <c r="AS17" s="216"/>
      <c r="AT17" s="216"/>
      <c r="AU17" s="153"/>
      <c r="AV17" s="152"/>
      <c r="AW17" s="152"/>
      <c r="AX17" s="152"/>
      <c r="BB17" s="153"/>
    </row>
    <row r="18" spans="1:54" ht="14.25">
      <c r="A18" s="379">
        <v>40</v>
      </c>
      <c r="B18" s="380">
        <v>28</v>
      </c>
      <c r="C18" s="379">
        <v>40</v>
      </c>
      <c r="D18" s="380">
        <v>28</v>
      </c>
      <c r="E18" s="180" t="s">
        <v>39</v>
      </c>
      <c r="F18" s="379">
        <v>40</v>
      </c>
      <c r="G18" s="380">
        <v>28</v>
      </c>
      <c r="H18" s="379">
        <v>40</v>
      </c>
      <c r="I18" s="380">
        <v>28</v>
      </c>
      <c r="J18" s="217"/>
      <c r="K18" s="166">
        <f>IF(A18=40,0,A18)</f>
        <v>0</v>
      </c>
      <c r="L18" s="166">
        <f>IF(A18=40,B18,0)</f>
        <v>28</v>
      </c>
      <c r="M18" s="166">
        <f>IF(A18=40,0,B18)</f>
        <v>0</v>
      </c>
      <c r="N18" s="166">
        <f t="shared" si="5"/>
        <v>0</v>
      </c>
      <c r="O18" s="166">
        <f t="shared" si="6"/>
        <v>28</v>
      </c>
      <c r="P18" s="166">
        <f t="shared" si="7"/>
        <v>0</v>
      </c>
      <c r="Q18" s="166">
        <f>IF(F18=40,0,F18)</f>
        <v>0</v>
      </c>
      <c r="R18" s="166">
        <f>IF(F18=40,G18,0)</f>
        <v>28</v>
      </c>
      <c r="S18" s="166">
        <f>IF(F18=40,0,G18)</f>
        <v>0</v>
      </c>
      <c r="T18" s="166">
        <f t="shared" si="11"/>
        <v>0</v>
      </c>
      <c r="U18" s="166">
        <f t="shared" si="12"/>
        <v>28</v>
      </c>
      <c r="V18" s="166">
        <f t="shared" si="13"/>
        <v>0</v>
      </c>
      <c r="W18" s="217"/>
      <c r="X18" s="203"/>
      <c r="Y18" s="204"/>
      <c r="Z18" s="204"/>
      <c r="AA18" s="204"/>
      <c r="AB18" s="149"/>
      <c r="AC18" s="205"/>
      <c r="AD18" s="205"/>
      <c r="AE18" s="205"/>
      <c r="AF18" s="149"/>
      <c r="AG18" s="198">
        <v>3000</v>
      </c>
      <c r="AH18" s="198">
        <v>3.14</v>
      </c>
      <c r="AI18" s="198">
        <v>10.21</v>
      </c>
      <c r="AJ18" s="198">
        <v>61.84</v>
      </c>
      <c r="AK18" s="198">
        <v>6.46</v>
      </c>
      <c r="AL18" s="198">
        <v>0.97</v>
      </c>
      <c r="AM18" s="198">
        <v>16330</v>
      </c>
      <c r="AN18" s="198">
        <v>0.33</v>
      </c>
      <c r="AO18" s="171">
        <v>3.02</v>
      </c>
      <c r="AP18" s="172">
        <v>10200</v>
      </c>
      <c r="AQ18" s="171">
        <v>3.32</v>
      </c>
      <c r="AR18" s="173">
        <v>9330</v>
      </c>
      <c r="AS18" s="182">
        <f>SUM(K18:V18)*-3.7</f>
        <v>-414.40000000000003</v>
      </c>
      <c r="AT18" s="182">
        <f>SUM(K18:V18)*-1</f>
        <v>-112</v>
      </c>
      <c r="AU18" s="153"/>
      <c r="AV18" s="152"/>
      <c r="AW18" s="152"/>
      <c r="AX18" s="152"/>
      <c r="BB18" s="153"/>
    </row>
    <row r="19" spans="1:54" ht="15" thickBot="1">
      <c r="A19" s="379">
        <v>40</v>
      </c>
      <c r="B19" s="380">
        <v>28</v>
      </c>
      <c r="C19" s="379">
        <v>40</v>
      </c>
      <c r="D19" s="380">
        <v>28</v>
      </c>
      <c r="E19" s="183" t="s">
        <v>59</v>
      </c>
      <c r="F19" s="379">
        <v>40</v>
      </c>
      <c r="G19" s="380">
        <v>28</v>
      </c>
      <c r="H19" s="379">
        <v>40</v>
      </c>
      <c r="I19" s="380">
        <v>28</v>
      </c>
      <c r="J19" s="149"/>
      <c r="K19" s="166">
        <f t="shared" si="2"/>
        <v>0</v>
      </c>
      <c r="L19" s="166">
        <f t="shared" si="3"/>
        <v>28</v>
      </c>
      <c r="M19" s="166">
        <f t="shared" si="4"/>
        <v>0</v>
      </c>
      <c r="N19" s="166">
        <f t="shared" si="5"/>
        <v>0</v>
      </c>
      <c r="O19" s="166">
        <f t="shared" si="6"/>
        <v>28</v>
      </c>
      <c r="P19" s="166">
        <f t="shared" si="7"/>
        <v>0</v>
      </c>
      <c r="Q19" s="166">
        <f>IF(F19=40,0,F19)</f>
        <v>0</v>
      </c>
      <c r="R19" s="166">
        <f>IF(F19=40,G19,0)</f>
        <v>28</v>
      </c>
      <c r="S19" s="166">
        <f>IF(F19=40,0,G19)</f>
        <v>0</v>
      </c>
      <c r="T19" s="166">
        <f t="shared" si="11"/>
        <v>0</v>
      </c>
      <c r="U19" s="166">
        <f t="shared" si="12"/>
        <v>28</v>
      </c>
      <c r="V19" s="166">
        <f t="shared" si="13"/>
        <v>0</v>
      </c>
      <c r="W19" s="149"/>
      <c r="X19" s="205"/>
      <c r="Y19" s="206" t="s">
        <v>60</v>
      </c>
      <c r="Z19" s="206"/>
      <c r="AA19" s="206"/>
      <c r="AB19" s="149"/>
      <c r="AC19" s="206" t="s">
        <v>61</v>
      </c>
      <c r="AD19" s="206"/>
      <c r="AE19" s="206"/>
      <c r="AF19" s="149"/>
      <c r="AG19" s="198">
        <v>3100</v>
      </c>
      <c r="AH19" s="198">
        <v>3.23</v>
      </c>
      <c r="AI19" s="198">
        <v>10.29</v>
      </c>
      <c r="AJ19" s="198">
        <v>63.53</v>
      </c>
      <c r="AK19" s="198">
        <v>6.4</v>
      </c>
      <c r="AL19" s="198">
        <v>0.92</v>
      </c>
      <c r="AM19" s="198">
        <v>16830</v>
      </c>
      <c r="AN19" s="198">
        <v>0.31</v>
      </c>
      <c r="AO19" s="171">
        <v>3.01</v>
      </c>
      <c r="AP19" s="172">
        <v>10150</v>
      </c>
      <c r="AQ19" s="171">
        <v>3.31</v>
      </c>
      <c r="AR19" s="173">
        <v>9450</v>
      </c>
      <c r="AS19" s="190">
        <f>SUM(K19:V19)*-1.23</f>
        <v>-137.76</v>
      </c>
      <c r="AT19" s="182">
        <f>SUM(K19:V19)*-1</f>
        <v>-112</v>
      </c>
      <c r="AU19" s="153"/>
      <c r="AV19" s="152"/>
      <c r="AW19" s="152"/>
      <c r="AX19" s="152"/>
      <c r="BB19" s="153"/>
    </row>
    <row r="20" spans="1:54" ht="14.25">
      <c r="A20" s="379">
        <v>40</v>
      </c>
      <c r="B20" s="380">
        <v>4</v>
      </c>
      <c r="C20" s="379">
        <v>40</v>
      </c>
      <c r="D20" s="380">
        <v>28</v>
      </c>
      <c r="E20" s="166" t="s">
        <v>62</v>
      </c>
      <c r="F20" s="379">
        <v>40</v>
      </c>
      <c r="G20" s="380">
        <v>28</v>
      </c>
      <c r="H20" s="379">
        <v>40</v>
      </c>
      <c r="I20" s="380">
        <v>28</v>
      </c>
      <c r="J20" s="149"/>
      <c r="K20" s="166">
        <f t="shared" si="2"/>
        <v>0</v>
      </c>
      <c r="L20" s="166">
        <f t="shared" si="3"/>
        <v>4</v>
      </c>
      <c r="M20" s="166">
        <f t="shared" si="4"/>
        <v>0</v>
      </c>
      <c r="N20" s="166">
        <f t="shared" si="5"/>
        <v>0</v>
      </c>
      <c r="O20" s="166">
        <f t="shared" si="6"/>
        <v>28</v>
      </c>
      <c r="P20" s="166">
        <f t="shared" si="7"/>
        <v>0</v>
      </c>
      <c r="Q20" s="166">
        <f>IF(F20=40,0,F20)</f>
        <v>0</v>
      </c>
      <c r="R20" s="166">
        <f>IF(F20=40,G20,0)</f>
        <v>28</v>
      </c>
      <c r="S20" s="166">
        <f>IF(F20=40,0,G20)</f>
        <v>0</v>
      </c>
      <c r="T20" s="166">
        <f t="shared" si="11"/>
        <v>0</v>
      </c>
      <c r="U20" s="166">
        <f t="shared" si="12"/>
        <v>28</v>
      </c>
      <c r="V20" s="166">
        <f t="shared" si="13"/>
        <v>0</v>
      </c>
      <c r="W20" s="149"/>
      <c r="X20" s="211" t="s">
        <v>63</v>
      </c>
      <c r="Y20" s="212" t="s">
        <v>3</v>
      </c>
      <c r="Z20" s="212" t="s">
        <v>64</v>
      </c>
      <c r="AA20" s="213" t="s">
        <v>65</v>
      </c>
      <c r="AB20" s="149"/>
      <c r="AC20" s="212" t="s">
        <v>3</v>
      </c>
      <c r="AD20" s="212" t="s">
        <v>64</v>
      </c>
      <c r="AE20" s="213" t="s">
        <v>65</v>
      </c>
      <c r="AF20" s="149"/>
      <c r="AG20" s="198">
        <v>3200</v>
      </c>
      <c r="AH20" s="198">
        <v>3.33</v>
      </c>
      <c r="AI20" s="198">
        <v>10.38</v>
      </c>
      <c r="AJ20" s="198">
        <v>65.2</v>
      </c>
      <c r="AK20" s="198">
        <v>6.33</v>
      </c>
      <c r="AL20" s="198">
        <v>0.87</v>
      </c>
      <c r="AM20" s="198">
        <v>17260</v>
      </c>
      <c r="AN20" s="198">
        <v>0.29</v>
      </c>
      <c r="AO20" s="171">
        <v>3</v>
      </c>
      <c r="AP20" s="172">
        <v>10500</v>
      </c>
      <c r="AQ20" s="171">
        <v>3.29</v>
      </c>
      <c r="AR20" s="173">
        <v>9590</v>
      </c>
      <c r="AS20" s="182">
        <f>SUM(K20:V20)*1.23</f>
        <v>108.24</v>
      </c>
      <c r="AT20" s="182">
        <f>SUM(K20:V20)</f>
        <v>88</v>
      </c>
      <c r="AU20" s="153"/>
      <c r="AV20" s="152"/>
      <c r="AW20" s="152"/>
      <c r="AX20" s="152"/>
      <c r="BB20" s="153"/>
    </row>
    <row r="21" spans="1:54" ht="14.25">
      <c r="A21" s="379">
        <v>40</v>
      </c>
      <c r="B21" s="380">
        <v>28</v>
      </c>
      <c r="C21" s="379">
        <v>40</v>
      </c>
      <c r="D21" s="380">
        <v>28</v>
      </c>
      <c r="E21" s="180" t="s">
        <v>45</v>
      </c>
      <c r="F21" s="379">
        <v>40</v>
      </c>
      <c r="G21" s="380">
        <v>28</v>
      </c>
      <c r="H21" s="379">
        <v>40</v>
      </c>
      <c r="I21" s="380">
        <v>28</v>
      </c>
      <c r="J21" s="184"/>
      <c r="K21" s="166">
        <f t="shared" si="2"/>
        <v>0</v>
      </c>
      <c r="L21" s="166">
        <f t="shared" si="3"/>
        <v>28</v>
      </c>
      <c r="M21" s="166">
        <f t="shared" si="4"/>
        <v>0</v>
      </c>
      <c r="N21" s="166">
        <f t="shared" si="5"/>
        <v>0</v>
      </c>
      <c r="O21" s="403">
        <f t="shared" si="6"/>
        <v>28</v>
      </c>
      <c r="P21" s="166">
        <f t="shared" si="7"/>
        <v>0</v>
      </c>
      <c r="Q21" s="166">
        <f t="shared" si="8"/>
        <v>0</v>
      </c>
      <c r="R21" s="166">
        <f t="shared" si="9"/>
        <v>28</v>
      </c>
      <c r="S21" s="166">
        <f t="shared" si="10"/>
        <v>0</v>
      </c>
      <c r="T21" s="166">
        <f t="shared" si="11"/>
        <v>0</v>
      </c>
      <c r="U21" s="166">
        <f t="shared" si="12"/>
        <v>28</v>
      </c>
      <c r="V21" s="166">
        <f t="shared" si="13"/>
        <v>0</v>
      </c>
      <c r="W21" s="184"/>
      <c r="X21" s="214" t="s">
        <v>66</v>
      </c>
      <c r="Y21" s="200">
        <f>SUM(K23:P26)</f>
        <v>224</v>
      </c>
      <c r="Z21" s="201">
        <v>1.8</v>
      </c>
      <c r="AA21" s="215">
        <f>Y21*Z21</f>
        <v>403.2</v>
      </c>
      <c r="AB21" s="149"/>
      <c r="AC21" s="200">
        <f>SUM(Q23:V26)</f>
        <v>314.9000000000001</v>
      </c>
      <c r="AD21" s="201">
        <v>1.8</v>
      </c>
      <c r="AE21" s="215">
        <f>AC21*AD21</f>
        <v>566.8200000000002</v>
      </c>
      <c r="AF21" s="149"/>
      <c r="AG21" s="198">
        <v>3300</v>
      </c>
      <c r="AH21" s="198">
        <v>3.42</v>
      </c>
      <c r="AI21" s="198">
        <v>10.45</v>
      </c>
      <c r="AJ21" s="198">
        <v>66.46</v>
      </c>
      <c r="AK21" s="198">
        <v>6.27</v>
      </c>
      <c r="AL21" s="198">
        <v>0.83</v>
      </c>
      <c r="AM21" s="198">
        <v>17740</v>
      </c>
      <c r="AN21" s="198">
        <v>0.27</v>
      </c>
      <c r="AO21" s="171">
        <v>3</v>
      </c>
      <c r="AP21" s="172">
        <v>10640</v>
      </c>
      <c r="AQ21" s="171">
        <v>3.28</v>
      </c>
      <c r="AR21" s="173">
        <v>9700</v>
      </c>
      <c r="AS21" s="190">
        <f>SUM(K21:V21)*3.7</f>
        <v>414.40000000000003</v>
      </c>
      <c r="AT21" s="182">
        <f>SUM(K21:V21)</f>
        <v>112</v>
      </c>
      <c r="AU21" s="153"/>
      <c r="AV21" s="152"/>
      <c r="AW21" s="152"/>
      <c r="AX21" s="152"/>
      <c r="BB21" s="153"/>
    </row>
    <row r="22" spans="1:54" ht="15" thickBot="1">
      <c r="A22" s="149"/>
      <c r="C22" s="196" t="s">
        <v>67</v>
      </c>
      <c r="D22" s="149"/>
      <c r="E22" s="203"/>
      <c r="F22" s="149"/>
      <c r="G22" s="197" t="s">
        <v>68</v>
      </c>
      <c r="I22" s="149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214" t="s">
        <v>69</v>
      </c>
      <c r="Y22" s="200">
        <f>SUM(K18:P21)</f>
        <v>200</v>
      </c>
      <c r="Z22" s="201">
        <v>4.42</v>
      </c>
      <c r="AA22" s="215">
        <f>Y22*Z22</f>
        <v>884</v>
      </c>
      <c r="AB22" s="149"/>
      <c r="AC22" s="200">
        <f>SUM(Q18:V21)</f>
        <v>224</v>
      </c>
      <c r="AD22" s="201">
        <v>4.42</v>
      </c>
      <c r="AE22" s="215">
        <f>AC22*AD22</f>
        <v>990.0799999999999</v>
      </c>
      <c r="AF22" s="149"/>
      <c r="AG22" s="198">
        <v>3400</v>
      </c>
      <c r="AH22" s="198">
        <v>3.51</v>
      </c>
      <c r="AI22" s="198">
        <v>10.52</v>
      </c>
      <c r="AJ22" s="198">
        <v>68.08</v>
      </c>
      <c r="AK22" s="198">
        <v>6.23</v>
      </c>
      <c r="AL22" s="198">
        <v>0.8</v>
      </c>
      <c r="AM22" s="198">
        <v>18210</v>
      </c>
      <c r="AN22" s="198">
        <v>0.25</v>
      </c>
      <c r="AO22" s="171">
        <v>3</v>
      </c>
      <c r="AP22" s="172">
        <v>10780</v>
      </c>
      <c r="AQ22" s="171">
        <v>3.27</v>
      </c>
      <c r="AR22" s="173">
        <v>9830</v>
      </c>
      <c r="AS22" s="182"/>
      <c r="AT22" s="182"/>
      <c r="AU22" s="153"/>
      <c r="AV22" s="152"/>
      <c r="AW22" s="152"/>
      <c r="AX22" s="152"/>
      <c r="BB22" s="153"/>
    </row>
    <row r="23" spans="1:54" ht="15" thickBot="1">
      <c r="A23" s="379">
        <v>40</v>
      </c>
      <c r="B23" s="380">
        <v>28</v>
      </c>
      <c r="C23" s="379">
        <v>40</v>
      </c>
      <c r="D23" s="380">
        <v>28</v>
      </c>
      <c r="E23" s="180" t="s">
        <v>39</v>
      </c>
      <c r="F23" s="330">
        <v>23.3</v>
      </c>
      <c r="G23" s="330">
        <v>23.3</v>
      </c>
      <c r="H23" s="330">
        <v>23.3</v>
      </c>
      <c r="I23" s="416">
        <v>4</v>
      </c>
      <c r="J23" s="149"/>
      <c r="K23" s="166">
        <f>IF(A23=40,0,A23)</f>
        <v>0</v>
      </c>
      <c r="L23" s="166">
        <f>IF(A23=40,B23,0)</f>
        <v>28</v>
      </c>
      <c r="M23" s="166">
        <f>IF(A23=40,0,B23)</f>
        <v>0</v>
      </c>
      <c r="N23" s="166">
        <f>IF(C23=40,0,C23)</f>
        <v>0</v>
      </c>
      <c r="O23" s="166">
        <f>IF(C23=40,D23,0)</f>
        <v>28</v>
      </c>
      <c r="P23" s="166">
        <f>IF(C23=40,0,D23)</f>
        <v>0</v>
      </c>
      <c r="Q23" s="166">
        <f>IF(F23=40,0,F23)</f>
        <v>23.3</v>
      </c>
      <c r="R23" s="166">
        <f>IF(F23=40,G23,0)</f>
        <v>0</v>
      </c>
      <c r="S23" s="166">
        <f>IF(F23=40,0,G23)</f>
        <v>23.3</v>
      </c>
      <c r="T23" s="166">
        <f>IF(H23=40,0,H23)</f>
        <v>23.3</v>
      </c>
      <c r="U23" s="166">
        <f>IF(H23=40,I23,0)</f>
        <v>0</v>
      </c>
      <c r="V23" s="166">
        <f>IF(H23=40,0,I23)</f>
        <v>4</v>
      </c>
      <c r="W23" s="149"/>
      <c r="X23" s="205"/>
      <c r="Y23" s="205"/>
      <c r="Z23" s="205"/>
      <c r="AA23" s="218">
        <f>AA21+AA22</f>
        <v>1287.2</v>
      </c>
      <c r="AB23" s="149"/>
      <c r="AC23" s="149"/>
      <c r="AD23" s="153"/>
      <c r="AE23" s="219">
        <f>AE21+AE22</f>
        <v>1556.9</v>
      </c>
      <c r="AF23" s="149"/>
      <c r="AG23" s="198">
        <v>3500</v>
      </c>
      <c r="AH23" s="198">
        <v>3.6</v>
      </c>
      <c r="AI23" s="198">
        <v>10.57</v>
      </c>
      <c r="AJ23" s="198">
        <v>68.84</v>
      </c>
      <c r="AK23" s="198">
        <v>6.17</v>
      </c>
      <c r="AL23" s="198">
        <v>0.77</v>
      </c>
      <c r="AM23" s="198">
        <v>18750</v>
      </c>
      <c r="AN23" s="198">
        <v>0.23</v>
      </c>
      <c r="AO23" s="171">
        <v>2.99</v>
      </c>
      <c r="AP23" s="172">
        <v>11000</v>
      </c>
      <c r="AQ23" s="171">
        <v>3.25</v>
      </c>
      <c r="AR23" s="173">
        <v>10000</v>
      </c>
      <c r="AS23" s="182">
        <f>SUM(K23:V23)*-3.7</f>
        <v>-480.62999999999994</v>
      </c>
      <c r="AT23" s="182">
        <f>SUM(K23:V23)*-1</f>
        <v>-129.89999999999998</v>
      </c>
      <c r="AU23" s="153"/>
      <c r="AV23" s="152"/>
      <c r="AW23" s="152"/>
      <c r="AX23" s="152"/>
      <c r="BB23" s="153"/>
    </row>
    <row r="24" spans="1:54" ht="14.25">
      <c r="A24" s="379">
        <v>40</v>
      </c>
      <c r="B24" s="380">
        <v>28</v>
      </c>
      <c r="C24" s="379">
        <v>40</v>
      </c>
      <c r="D24" s="380">
        <v>28</v>
      </c>
      <c r="E24" s="183" t="s">
        <v>70</v>
      </c>
      <c r="F24" s="330">
        <v>23.3</v>
      </c>
      <c r="G24" s="330">
        <v>23.3</v>
      </c>
      <c r="H24" s="330">
        <v>23.3</v>
      </c>
      <c r="I24" s="416">
        <v>4</v>
      </c>
      <c r="J24" s="149"/>
      <c r="K24" s="166">
        <f>IF(A24=40,0,A24)</f>
        <v>0</v>
      </c>
      <c r="L24" s="166">
        <f>IF(A24=40,B24,0)</f>
        <v>28</v>
      </c>
      <c r="M24" s="166">
        <f>IF(A24=40,0,B24)</f>
        <v>0</v>
      </c>
      <c r="N24" s="166">
        <f>IF(C24=40,0,C24)</f>
        <v>0</v>
      </c>
      <c r="O24" s="166">
        <f>IF(C24=40,D24,0)</f>
        <v>28</v>
      </c>
      <c r="P24" s="166">
        <f>IF(C24=40,0,D24)</f>
        <v>0</v>
      </c>
      <c r="Q24" s="166">
        <f>IF(F24=40,0,F24)</f>
        <v>23.3</v>
      </c>
      <c r="R24" s="166">
        <f>IF(F24=40,G24,0)</f>
        <v>0</v>
      </c>
      <c r="S24" s="166">
        <f>IF(F24=40,0,G24)</f>
        <v>23.3</v>
      </c>
      <c r="T24" s="166">
        <f>IF(H24=40,0,H24)</f>
        <v>23.3</v>
      </c>
      <c r="U24" s="166">
        <f>IF(H24=40,I24,0)</f>
        <v>0</v>
      </c>
      <c r="V24" s="166">
        <f>IF(H24=40,0,I24)</f>
        <v>4</v>
      </c>
      <c r="W24" s="149"/>
      <c r="X24" s="205"/>
      <c r="Y24" s="205"/>
      <c r="Z24" s="205"/>
      <c r="AA24" s="153"/>
      <c r="AB24" s="149"/>
      <c r="AC24" s="149"/>
      <c r="AD24" s="149"/>
      <c r="AE24" s="149"/>
      <c r="AF24" s="149"/>
      <c r="AG24" s="198">
        <v>3600</v>
      </c>
      <c r="AH24" s="198">
        <v>3.7</v>
      </c>
      <c r="AI24" s="198">
        <v>10.63</v>
      </c>
      <c r="AJ24" s="198">
        <v>69.96</v>
      </c>
      <c r="AK24" s="198">
        <v>6.11</v>
      </c>
      <c r="AL24" s="198">
        <v>0.76</v>
      </c>
      <c r="AM24" s="198">
        <v>19170</v>
      </c>
      <c r="AN24" s="198">
        <v>0.21</v>
      </c>
      <c r="AO24" s="171">
        <v>2.99</v>
      </c>
      <c r="AP24" s="172">
        <v>11120</v>
      </c>
      <c r="AQ24" s="171">
        <v>3.24</v>
      </c>
      <c r="AR24" s="173">
        <v>10210</v>
      </c>
      <c r="AS24" s="190">
        <f>SUM(K24:V24)*-1.23</f>
        <v>-159.77699999999996</v>
      </c>
      <c r="AT24" s="182">
        <f>SUM(K24:V24)*-1</f>
        <v>-129.89999999999998</v>
      </c>
      <c r="AU24" s="153"/>
      <c r="AV24" s="152"/>
      <c r="AW24" s="152"/>
      <c r="AX24" s="152"/>
      <c r="BB24" s="153"/>
    </row>
    <row r="25" spans="1:54" ht="14.25">
      <c r="A25" s="379">
        <v>40</v>
      </c>
      <c r="B25" s="380">
        <v>28</v>
      </c>
      <c r="C25" s="379">
        <v>40</v>
      </c>
      <c r="D25" s="380">
        <v>28</v>
      </c>
      <c r="E25" s="166" t="s">
        <v>71</v>
      </c>
      <c r="F25" s="330">
        <v>23.3</v>
      </c>
      <c r="G25" s="330">
        <v>23.3</v>
      </c>
      <c r="H25" s="330">
        <v>23.3</v>
      </c>
      <c r="I25" s="330">
        <v>23.3</v>
      </c>
      <c r="J25" s="149"/>
      <c r="K25" s="166">
        <f>IF(A25=40,0,A25)</f>
        <v>0</v>
      </c>
      <c r="L25" s="166">
        <f>IF(A25=40,B25,0)</f>
        <v>28</v>
      </c>
      <c r="M25" s="166">
        <f>IF(A25=40,0,B25)</f>
        <v>0</v>
      </c>
      <c r="N25" s="166">
        <f>IF(C25=40,0,C25)</f>
        <v>0</v>
      </c>
      <c r="O25" s="166">
        <f>IF(C25=40,D25,0)</f>
        <v>28</v>
      </c>
      <c r="P25" s="166">
        <f>IF(C25=40,0,D25)</f>
        <v>0</v>
      </c>
      <c r="Q25" s="166">
        <f>IF(F25=40,0,F25)</f>
        <v>23.3</v>
      </c>
      <c r="R25" s="166">
        <f>IF(F25=40,G25,0)</f>
        <v>0</v>
      </c>
      <c r="S25" s="166">
        <f>IF(F25=40,0,G25)</f>
        <v>23.3</v>
      </c>
      <c r="T25" s="166">
        <f>IF(H25=40,0,H25)</f>
        <v>23.3</v>
      </c>
      <c r="U25" s="166">
        <f>IF(H25=40,I25,0)</f>
        <v>0</v>
      </c>
      <c r="V25" s="166">
        <f>IF(H25=40,0,I25)</f>
        <v>23.3</v>
      </c>
      <c r="W25" s="149"/>
      <c r="X25" s="214" t="s">
        <v>72</v>
      </c>
      <c r="Y25" s="200">
        <f>SUM(K11:V14)</f>
        <v>247.2000000000001</v>
      </c>
      <c r="Z25" s="201">
        <v>8.51</v>
      </c>
      <c r="AA25" s="215">
        <f>Y25*Z25</f>
        <v>2103.672000000001</v>
      </c>
      <c r="AB25" s="149"/>
      <c r="AC25" s="149">
        <f>Y17+AC17+AC9+Y9</f>
        <v>1341.4</v>
      </c>
      <c r="AD25" s="220">
        <f>AA9+AE9+AA17+AE17</f>
        <v>8886.197</v>
      </c>
      <c r="AE25" s="220">
        <f>AE23+AA23+AA27</f>
        <v>6409.141000000001</v>
      </c>
      <c r="AF25" s="149"/>
      <c r="AG25" s="198">
        <v>3700</v>
      </c>
      <c r="AH25" s="198">
        <v>3.79</v>
      </c>
      <c r="AI25" s="198">
        <v>10.7</v>
      </c>
      <c r="AJ25" s="198">
        <v>71.47</v>
      </c>
      <c r="AK25" s="198">
        <v>6.07</v>
      </c>
      <c r="AL25" s="198">
        <v>0.74</v>
      </c>
      <c r="AM25" s="198">
        <v>19670</v>
      </c>
      <c r="AN25" s="198">
        <v>0.18</v>
      </c>
      <c r="AO25" s="171">
        <v>2.99</v>
      </c>
      <c r="AP25" s="172">
        <v>11270</v>
      </c>
      <c r="AQ25" s="171">
        <v>3.23</v>
      </c>
      <c r="AR25" s="173">
        <v>10380</v>
      </c>
      <c r="AS25" s="182">
        <f>SUM(K25:V25)*1.23</f>
        <v>183.516</v>
      </c>
      <c r="AT25" s="182">
        <f>SUM(K25:V25)</f>
        <v>149.2</v>
      </c>
      <c r="AU25" s="153"/>
      <c r="AV25" s="152"/>
      <c r="AW25" s="152"/>
      <c r="AX25" s="152"/>
      <c r="BB25" s="153"/>
    </row>
    <row r="26" spans="1:54" ht="14.25">
      <c r="A26" s="379">
        <v>40</v>
      </c>
      <c r="B26" s="380">
        <v>28</v>
      </c>
      <c r="C26" s="379">
        <v>40</v>
      </c>
      <c r="D26" s="380">
        <v>28</v>
      </c>
      <c r="E26" s="180" t="s">
        <v>45</v>
      </c>
      <c r="F26" s="330">
        <v>23.3</v>
      </c>
      <c r="G26" s="330">
        <v>23.3</v>
      </c>
      <c r="H26" s="330">
        <v>23.3</v>
      </c>
      <c r="I26" s="416">
        <v>4</v>
      </c>
      <c r="J26" s="181"/>
      <c r="K26" s="166">
        <f>IF(A26=40,0,A26)</f>
        <v>0</v>
      </c>
      <c r="L26" s="166">
        <f>IF(A26=40,B26,0)</f>
        <v>28</v>
      </c>
      <c r="M26" s="166">
        <f>IF(A26=40,0,B26)</f>
        <v>0</v>
      </c>
      <c r="N26" s="166">
        <f>IF(C26=40,0,C26)</f>
        <v>0</v>
      </c>
      <c r="O26" s="166">
        <f>IF(C26=40,D26,0)</f>
        <v>28</v>
      </c>
      <c r="P26" s="166">
        <f>IF(C26=40,0,D26)</f>
        <v>0</v>
      </c>
      <c r="Q26" s="166">
        <f>IF(F26=40,0,F26)</f>
        <v>23.3</v>
      </c>
      <c r="R26" s="166">
        <f>IF(F26=40,G26,0)</f>
        <v>0</v>
      </c>
      <c r="S26" s="166">
        <f>IF(F26=40,0,G26)</f>
        <v>23.3</v>
      </c>
      <c r="T26" s="166">
        <f>IF(H26=40,0,H26)</f>
        <v>23.3</v>
      </c>
      <c r="U26" s="166">
        <f>IF(H26=40,I26,0)</f>
        <v>0</v>
      </c>
      <c r="V26" s="166">
        <f>IF(H26=40,0,I26)</f>
        <v>4</v>
      </c>
      <c r="W26" s="184"/>
      <c r="X26" s="214" t="s">
        <v>73</v>
      </c>
      <c r="Y26" s="221">
        <f>SUM(K6:V9)</f>
        <v>131.29999999999998</v>
      </c>
      <c r="Z26" s="201">
        <v>11.13</v>
      </c>
      <c r="AA26" s="222">
        <f>Y26*Z26</f>
        <v>1461.369</v>
      </c>
      <c r="AB26" s="149"/>
      <c r="AC26" s="149"/>
      <c r="AD26" s="149"/>
      <c r="AE26" s="149"/>
      <c r="AF26" s="149"/>
      <c r="AG26" s="198">
        <v>3800</v>
      </c>
      <c r="AH26" s="198">
        <v>3.88</v>
      </c>
      <c r="AI26" s="198">
        <v>10.76</v>
      </c>
      <c r="AJ26" s="198">
        <v>72.15</v>
      </c>
      <c r="AK26" s="198">
        <v>6.04</v>
      </c>
      <c r="AL26" s="198">
        <v>0.73</v>
      </c>
      <c r="AM26" s="198">
        <v>20000</v>
      </c>
      <c r="AN26" s="198">
        <v>0.15</v>
      </c>
      <c r="AO26" s="171">
        <v>2.99</v>
      </c>
      <c r="AP26" s="172">
        <v>11440</v>
      </c>
      <c r="AQ26" s="171">
        <v>3.23</v>
      </c>
      <c r="AR26" s="173">
        <v>10500</v>
      </c>
      <c r="AS26" s="190">
        <f>SUM(K26:V26)*3.7</f>
        <v>480.62999999999994</v>
      </c>
      <c r="AT26" s="182">
        <f>SUM(K26:V26)</f>
        <v>129.89999999999998</v>
      </c>
      <c r="AU26" s="153"/>
      <c r="AV26" s="152"/>
      <c r="AW26" s="152"/>
      <c r="AX26" s="152"/>
      <c r="BB26" s="153"/>
    </row>
    <row r="27" spans="1:54" ht="14.25">
      <c r="A27" s="220"/>
      <c r="B27" s="220"/>
      <c r="C27" s="220"/>
      <c r="D27" s="220"/>
      <c r="E27" s="149"/>
      <c r="F27" s="149"/>
      <c r="G27" s="149"/>
      <c r="H27" s="149"/>
      <c r="I27" s="42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205"/>
      <c r="Y27" s="205"/>
      <c r="Z27" s="205"/>
      <c r="AA27" s="223">
        <f>AA25+AA26</f>
        <v>3565.041000000001</v>
      </c>
      <c r="AB27" s="149"/>
      <c r="AC27" s="149"/>
      <c r="AD27" s="149"/>
      <c r="AE27" s="149"/>
      <c r="AF27" s="149"/>
      <c r="AG27" s="198">
        <v>3900</v>
      </c>
      <c r="AH27" s="198">
        <v>3.97</v>
      </c>
      <c r="AI27" s="198">
        <v>10.8</v>
      </c>
      <c r="AJ27" s="198">
        <v>73.5</v>
      </c>
      <c r="AK27" s="198">
        <v>6</v>
      </c>
      <c r="AL27" s="198">
        <v>0.73</v>
      </c>
      <c r="AM27" s="198">
        <v>20500</v>
      </c>
      <c r="AN27" s="198">
        <v>0.12</v>
      </c>
      <c r="AO27" s="171">
        <v>2.99</v>
      </c>
      <c r="AP27" s="172">
        <v>11560</v>
      </c>
      <c r="AQ27" s="171">
        <v>3.22</v>
      </c>
      <c r="AR27" s="173">
        <v>10700</v>
      </c>
      <c r="AS27" s="182"/>
      <c r="AT27" s="182"/>
      <c r="AU27" s="153"/>
      <c r="AV27" s="152"/>
      <c r="AW27" s="152"/>
      <c r="AX27" s="152"/>
      <c r="BB27" s="153"/>
    </row>
    <row r="28" spans="1:54" ht="14.25">
      <c r="A28" s="207" t="s">
        <v>74</v>
      </c>
      <c r="B28" s="289">
        <f>SUM(K18:P26)</f>
        <v>424</v>
      </c>
      <c r="C28" s="209" t="s">
        <v>56</v>
      </c>
      <c r="D28" s="149" t="s">
        <v>75</v>
      </c>
      <c r="F28" s="290">
        <f>B28+I28</f>
        <v>962.9000000000001</v>
      </c>
      <c r="G28" s="209" t="s">
        <v>56</v>
      </c>
      <c r="H28" s="210" t="s">
        <v>76</v>
      </c>
      <c r="I28" s="289">
        <f>SUM(Q18:V26)</f>
        <v>538.9000000000001</v>
      </c>
      <c r="J28" s="149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49"/>
      <c r="X28" s="205"/>
      <c r="Y28" s="205"/>
      <c r="Z28" s="205"/>
      <c r="AA28" s="205"/>
      <c r="AB28" s="149"/>
      <c r="AC28" s="149"/>
      <c r="AD28" s="149"/>
      <c r="AE28" s="149"/>
      <c r="AF28" s="149"/>
      <c r="AG28" s="198">
        <v>4000</v>
      </c>
      <c r="AH28" s="198">
        <v>4.06</v>
      </c>
      <c r="AI28" s="198">
        <v>10.83</v>
      </c>
      <c r="AJ28" s="198">
        <v>73.97</v>
      </c>
      <c r="AK28" s="198">
        <v>5.96</v>
      </c>
      <c r="AL28" s="198">
        <v>0.72</v>
      </c>
      <c r="AM28" s="198">
        <v>20890</v>
      </c>
      <c r="AN28" s="198">
        <v>0.09</v>
      </c>
      <c r="AO28" s="171">
        <v>3</v>
      </c>
      <c r="AP28" s="172">
        <v>11730</v>
      </c>
      <c r="AQ28" s="171">
        <v>3.22</v>
      </c>
      <c r="AR28" s="173">
        <v>10870</v>
      </c>
      <c r="AS28" s="182">
        <f>SUM(AS6:AS26)</f>
        <v>-14.290999999999883</v>
      </c>
      <c r="AT28" s="182">
        <f>SUM(AT6:AT26)</f>
        <v>-7</v>
      </c>
      <c r="AU28" s="153"/>
      <c r="AV28" s="152"/>
      <c r="AW28" s="152"/>
      <c r="AX28" s="152"/>
      <c r="BB28" s="153"/>
    </row>
    <row r="29" spans="1:54" ht="14.25">
      <c r="A29" s="149"/>
      <c r="B29" s="149"/>
      <c r="C29" s="149"/>
      <c r="D29" s="149"/>
      <c r="E29" s="149"/>
      <c r="G29" s="149"/>
      <c r="H29" s="149"/>
      <c r="I29" s="149"/>
      <c r="J29" s="149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49"/>
      <c r="X29" s="205"/>
      <c r="Y29" s="205"/>
      <c r="Z29" s="205"/>
      <c r="AA29" s="205"/>
      <c r="AB29" s="149"/>
      <c r="AC29" s="149"/>
      <c r="AD29" s="149"/>
      <c r="AE29" s="149"/>
      <c r="AF29" s="149"/>
      <c r="AG29" s="198">
        <v>4100</v>
      </c>
      <c r="AH29" s="198">
        <v>4.15</v>
      </c>
      <c r="AI29" s="198">
        <v>10.85</v>
      </c>
      <c r="AJ29" s="198">
        <v>74.36</v>
      </c>
      <c r="AK29" s="198">
        <v>5.93</v>
      </c>
      <c r="AL29" s="198">
        <v>0.73</v>
      </c>
      <c r="AM29" s="198">
        <v>21200</v>
      </c>
      <c r="AN29" s="198">
        <v>0.06</v>
      </c>
      <c r="AO29" s="171">
        <v>3</v>
      </c>
      <c r="AP29" s="172">
        <v>11900</v>
      </c>
      <c r="AQ29" s="171">
        <v>3.21</v>
      </c>
      <c r="AR29" s="173">
        <v>11070</v>
      </c>
      <c r="AS29" s="152"/>
      <c r="AT29" s="152"/>
      <c r="AU29" s="153"/>
      <c r="AV29" s="152"/>
      <c r="AW29" s="152"/>
      <c r="AX29" s="152"/>
      <c r="BB29" s="153"/>
    </row>
    <row r="30" spans="1:54" ht="12.75" customHeight="1" thickBot="1">
      <c r="A30" s="229" t="s">
        <v>77</v>
      </c>
      <c r="B30" s="230">
        <f>B52</f>
        <v>3.804104221348836</v>
      </c>
      <c r="C30" s="231" t="s">
        <v>78</v>
      </c>
      <c r="D30" s="149" t="s">
        <v>79</v>
      </c>
      <c r="E30" s="149"/>
      <c r="F30" s="420">
        <f>F16+F28</f>
        <v>1341.4</v>
      </c>
      <c r="G30" s="181" t="s">
        <v>56</v>
      </c>
      <c r="H30" s="229" t="s">
        <v>80</v>
      </c>
      <c r="I30" s="230">
        <f>B50</f>
        <v>3.461115237508897</v>
      </c>
      <c r="J30" s="231" t="s">
        <v>78</v>
      </c>
      <c r="K30" s="196"/>
      <c r="L30" s="196"/>
      <c r="M30" s="196"/>
      <c r="N30" s="196"/>
      <c r="O30" s="196"/>
      <c r="P30" s="196"/>
      <c r="Q30" s="196"/>
      <c r="R30" s="166"/>
      <c r="S30" s="166"/>
      <c r="T30" s="166"/>
      <c r="U30" s="196"/>
      <c r="V30" s="196"/>
      <c r="W30" s="231"/>
      <c r="X30" s="224" t="s">
        <v>46</v>
      </c>
      <c r="Y30" s="282">
        <f>Y21+Y22+Y25+Y26+AC21+AC22</f>
        <v>1341.4</v>
      </c>
      <c r="Z30" s="225"/>
      <c r="AA30" s="283">
        <f>AA21+AA22+AA25+AA26+AE21</f>
        <v>5419.0610000000015</v>
      </c>
      <c r="AB30" s="149"/>
      <c r="AC30" s="149"/>
      <c r="AD30" s="149"/>
      <c r="AE30" s="149"/>
      <c r="AF30" s="149"/>
      <c r="AG30" s="198">
        <v>4200</v>
      </c>
      <c r="AH30" s="198">
        <v>4.24</v>
      </c>
      <c r="AI30" s="198">
        <v>10.87</v>
      </c>
      <c r="AJ30" s="198">
        <v>74.7</v>
      </c>
      <c r="AK30" s="198">
        <v>5.89</v>
      </c>
      <c r="AL30" s="198">
        <v>0.74</v>
      </c>
      <c r="AM30" s="198">
        <v>21550</v>
      </c>
      <c r="AN30" s="198">
        <v>0.03</v>
      </c>
      <c r="AO30" s="171">
        <v>3</v>
      </c>
      <c r="AP30" s="172">
        <v>12100</v>
      </c>
      <c r="AQ30" s="171">
        <v>3.2</v>
      </c>
      <c r="AR30" s="173">
        <v>11230</v>
      </c>
      <c r="AS30" s="152"/>
      <c r="AT30" s="152"/>
      <c r="AU30" s="153"/>
      <c r="AV30" s="152"/>
      <c r="AW30" s="152"/>
      <c r="AX30" s="152"/>
      <c r="BB30" s="153"/>
    </row>
    <row r="31" spans="1:54" ht="12.75" customHeight="1" thickBot="1">
      <c r="A31" s="232"/>
      <c r="B31" s="149"/>
      <c r="C31" s="149"/>
      <c r="D31" s="149"/>
      <c r="E31" s="149"/>
      <c r="F31" s="233"/>
      <c r="H31" s="149"/>
      <c r="I31" s="149"/>
      <c r="J31" s="149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98">
        <v>4300</v>
      </c>
      <c r="AH31" s="198">
        <v>4.33</v>
      </c>
      <c r="AI31" s="198">
        <v>10.89</v>
      </c>
      <c r="AJ31" s="198">
        <v>75.46</v>
      </c>
      <c r="AK31" s="198">
        <v>5.86</v>
      </c>
      <c r="AL31" s="198">
        <v>0.76</v>
      </c>
      <c r="AM31" s="198">
        <v>21890</v>
      </c>
      <c r="AN31" s="198">
        <v>0</v>
      </c>
      <c r="AO31" s="171">
        <v>3.01</v>
      </c>
      <c r="AP31" s="172">
        <v>12210</v>
      </c>
      <c r="AQ31" s="171">
        <v>3.2</v>
      </c>
      <c r="AR31" s="173">
        <v>11470</v>
      </c>
      <c r="AS31" s="152"/>
      <c r="AT31" s="152"/>
      <c r="AU31" s="152"/>
      <c r="AV31" s="152"/>
      <c r="AW31" s="152"/>
      <c r="AX31" s="152"/>
      <c r="BB31" s="179"/>
    </row>
    <row r="32" spans="1:50" ht="12.75" customHeight="1">
      <c r="A32" s="149"/>
      <c r="B32" s="149"/>
      <c r="C32" s="149"/>
      <c r="D32" s="166" t="s">
        <v>81</v>
      </c>
      <c r="E32" s="234">
        <f>I30-B30</f>
        <v>-0.3429889838399389</v>
      </c>
      <c r="F32" s="235">
        <f>(B16+B28)-(I16+I28)</f>
        <v>-392.60000000000025</v>
      </c>
      <c r="G32" s="236" t="s">
        <v>56</v>
      </c>
      <c r="H32" s="277" t="s">
        <v>82</v>
      </c>
      <c r="I32" s="278">
        <f>AS28/3.7</f>
        <v>-3.8624324324324006</v>
      </c>
      <c r="J32" s="309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81"/>
      <c r="X32" s="211" t="s">
        <v>83</v>
      </c>
      <c r="Y32" s="212" t="s">
        <v>84</v>
      </c>
      <c r="Z32" s="212" t="s">
        <v>85</v>
      </c>
      <c r="AA32" s="212" t="s">
        <v>86</v>
      </c>
      <c r="AB32" s="212" t="s">
        <v>87</v>
      </c>
      <c r="AC32" s="212" t="s">
        <v>88</v>
      </c>
      <c r="AD32" s="212" t="s">
        <v>89</v>
      </c>
      <c r="AE32" s="213" t="s">
        <v>90</v>
      </c>
      <c r="AF32" s="149"/>
      <c r="AG32" s="198">
        <v>4400</v>
      </c>
      <c r="AH32" s="198">
        <v>4.42</v>
      </c>
      <c r="AI32" s="198">
        <v>10.92</v>
      </c>
      <c r="AJ32" s="198">
        <v>75.66</v>
      </c>
      <c r="AK32" s="198">
        <v>5.83</v>
      </c>
      <c r="AL32" s="198">
        <v>0.78</v>
      </c>
      <c r="AM32" s="198">
        <v>22200</v>
      </c>
      <c r="AN32" s="198">
        <v>-0.03</v>
      </c>
      <c r="AO32" s="171">
        <v>3.02</v>
      </c>
      <c r="AP32" s="172">
        <v>12330</v>
      </c>
      <c r="AQ32" s="171">
        <v>3.2</v>
      </c>
      <c r="AR32" s="173">
        <v>11600</v>
      </c>
      <c r="AS32" s="152"/>
      <c r="AT32" s="152"/>
      <c r="AU32" s="152"/>
      <c r="AV32" s="152"/>
      <c r="AW32" s="152"/>
      <c r="AX32" s="152"/>
    </row>
    <row r="33" spans="1:50" ht="12.75" customHeight="1" thickBot="1">
      <c r="A33" s="149"/>
      <c r="B33" s="149"/>
      <c r="C33" s="149"/>
      <c r="D33" s="166"/>
      <c r="E33" s="234"/>
      <c r="F33" s="235"/>
      <c r="G33" s="236"/>
      <c r="H33" s="277" t="s">
        <v>91</v>
      </c>
      <c r="I33" s="278">
        <f>AS28/1.23</f>
        <v>-11.618699186991774</v>
      </c>
      <c r="J33" s="149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49"/>
      <c r="X33" s="381" t="s">
        <v>92</v>
      </c>
      <c r="Y33" s="382">
        <f>I35</f>
        <v>0</v>
      </c>
      <c r="Z33" s="383">
        <v>39.3</v>
      </c>
      <c r="AA33" s="383">
        <f aca="true" t="shared" si="16" ref="AA33:AA59">Y33*Z33</f>
        <v>0</v>
      </c>
      <c r="AB33" s="383">
        <v>3.9</v>
      </c>
      <c r="AC33" s="383">
        <f aca="true" t="shared" si="17" ref="AC33:AC60">Y33*AB33</f>
        <v>0</v>
      </c>
      <c r="AD33" s="384">
        <v>0</v>
      </c>
      <c r="AE33" s="385">
        <f aca="true" t="shared" si="18" ref="AE33:AE60">Y33*AD33</f>
        <v>0</v>
      </c>
      <c r="AF33" s="149"/>
      <c r="AG33" s="198">
        <v>4500</v>
      </c>
      <c r="AH33" s="198">
        <v>4.51</v>
      </c>
      <c r="AI33" s="198">
        <v>10.93</v>
      </c>
      <c r="AJ33" s="198">
        <v>76.33</v>
      </c>
      <c r="AK33" s="198">
        <v>5.81</v>
      </c>
      <c r="AL33" s="198">
        <v>0.8</v>
      </c>
      <c r="AM33" s="198">
        <v>22540</v>
      </c>
      <c r="AN33" s="198">
        <v>-0.06</v>
      </c>
      <c r="AO33" s="237">
        <v>3.03</v>
      </c>
      <c r="AP33" s="238">
        <v>12510</v>
      </c>
      <c r="AQ33" s="237">
        <v>3.17</v>
      </c>
      <c r="AR33" s="239">
        <v>11880</v>
      </c>
      <c r="AS33" s="152"/>
      <c r="AT33" s="152"/>
      <c r="AU33" s="152"/>
      <c r="AV33" s="152"/>
      <c r="AW33" s="152"/>
      <c r="AX33" s="152"/>
    </row>
    <row r="34" spans="1:50" ht="12.75" customHeight="1">
      <c r="A34" s="291" t="s">
        <v>93</v>
      </c>
      <c r="B34" s="292" t="s">
        <v>94</v>
      </c>
      <c r="C34" s="293" t="s">
        <v>95</v>
      </c>
      <c r="D34" s="292" t="s">
        <v>96</v>
      </c>
      <c r="E34" s="292" t="s">
        <v>97</v>
      </c>
      <c r="F34" s="294" t="s">
        <v>98</v>
      </c>
      <c r="G34" s="292" t="s">
        <v>99</v>
      </c>
      <c r="H34" s="294" t="s">
        <v>100</v>
      </c>
      <c r="I34" s="294" t="s">
        <v>101</v>
      </c>
      <c r="J34" s="153"/>
      <c r="K34" s="192"/>
      <c r="L34" s="192"/>
      <c r="M34" s="192"/>
      <c r="N34" s="192"/>
      <c r="O34" s="192"/>
      <c r="P34" s="192"/>
      <c r="Q34" s="192"/>
      <c r="R34" s="166"/>
      <c r="S34" s="166"/>
      <c r="T34" s="166"/>
      <c r="U34" s="192"/>
      <c r="V34" s="192"/>
      <c r="W34" s="153"/>
      <c r="X34" s="381" t="s">
        <v>102</v>
      </c>
      <c r="Y34" s="383">
        <f>H35</f>
        <v>37.7</v>
      </c>
      <c r="Z34" s="383">
        <v>33.3</v>
      </c>
      <c r="AA34" s="383">
        <f t="shared" si="16"/>
        <v>1255.41</v>
      </c>
      <c r="AB34" s="383">
        <v>1.5</v>
      </c>
      <c r="AC34" s="383">
        <f t="shared" si="17"/>
        <v>56.550000000000004</v>
      </c>
      <c r="AD34" s="384">
        <v>-3.5</v>
      </c>
      <c r="AE34" s="385">
        <f t="shared" si="18"/>
        <v>-131.95000000000002</v>
      </c>
      <c r="AF34" s="149"/>
      <c r="AG34" s="198"/>
      <c r="AH34" s="198"/>
      <c r="AI34" s="198"/>
      <c r="AJ34" s="198"/>
      <c r="AK34" s="198"/>
      <c r="AL34" s="198"/>
      <c r="AM34" s="198"/>
      <c r="AN34" s="203"/>
      <c r="AO34" s="377"/>
      <c r="AP34" s="378"/>
      <c r="AQ34" s="377"/>
      <c r="AR34" s="378"/>
      <c r="AS34" s="152"/>
      <c r="AT34" s="152"/>
      <c r="AU34" s="152"/>
      <c r="AV34" s="152"/>
      <c r="AW34" s="152"/>
      <c r="AX34" s="152"/>
    </row>
    <row r="35" spans="1:50" ht="12.75" customHeight="1">
      <c r="A35" s="295">
        <v>66</v>
      </c>
      <c r="B35" s="296">
        <v>0</v>
      </c>
      <c r="C35" s="297">
        <v>7</v>
      </c>
      <c r="D35" s="296">
        <v>0</v>
      </c>
      <c r="E35" s="296">
        <v>141.2</v>
      </c>
      <c r="F35" s="296">
        <v>117.7</v>
      </c>
      <c r="G35" s="296">
        <v>0</v>
      </c>
      <c r="H35" s="296">
        <v>37.7</v>
      </c>
      <c r="I35" s="296">
        <v>0</v>
      </c>
      <c r="J35" s="149" t="s">
        <v>103</v>
      </c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49"/>
      <c r="X35" s="381" t="s">
        <v>104</v>
      </c>
      <c r="Y35" s="383">
        <f>H37</f>
        <v>36.7</v>
      </c>
      <c r="Z35" s="383">
        <v>33.4</v>
      </c>
      <c r="AA35" s="383">
        <f t="shared" si="16"/>
        <v>1225.78</v>
      </c>
      <c r="AB35" s="383">
        <v>1.5</v>
      </c>
      <c r="AC35" s="383">
        <f t="shared" si="17"/>
        <v>55.050000000000004</v>
      </c>
      <c r="AD35" s="384">
        <v>3.5</v>
      </c>
      <c r="AE35" s="385">
        <f t="shared" si="18"/>
        <v>128.45000000000002</v>
      </c>
      <c r="AF35" s="149"/>
      <c r="AG35" s="198"/>
      <c r="AH35" s="198"/>
      <c r="AI35" s="198"/>
      <c r="AJ35" s="198"/>
      <c r="AK35" s="198"/>
      <c r="AL35" s="198"/>
      <c r="AM35" s="198"/>
      <c r="AN35" s="203"/>
      <c r="AO35" s="377"/>
      <c r="AP35" s="378"/>
      <c r="AQ35" s="377"/>
      <c r="AR35" s="378"/>
      <c r="AS35" s="152"/>
      <c r="AT35" s="152"/>
      <c r="AU35" s="152"/>
      <c r="AV35" s="152"/>
      <c r="AW35" s="152"/>
      <c r="AX35" s="152"/>
    </row>
    <row r="36" spans="1:50" ht="12.75" customHeight="1">
      <c r="A36" s="298" t="s">
        <v>105</v>
      </c>
      <c r="B36" s="299" t="s">
        <v>106</v>
      </c>
      <c r="C36" s="293" t="s">
        <v>107</v>
      </c>
      <c r="D36" s="292" t="s">
        <v>108</v>
      </c>
      <c r="E36" s="292" t="s">
        <v>109</v>
      </c>
      <c r="F36" s="294" t="s">
        <v>110</v>
      </c>
      <c r="G36" s="292" t="s">
        <v>111</v>
      </c>
      <c r="H36" s="294" t="s">
        <v>112</v>
      </c>
      <c r="I36" s="299" t="s">
        <v>0</v>
      </c>
      <c r="R36" s="166"/>
      <c r="S36" s="166"/>
      <c r="T36" s="166"/>
      <c r="X36" s="381" t="s">
        <v>113</v>
      </c>
      <c r="Y36" s="383">
        <f>G35</f>
        <v>0</v>
      </c>
      <c r="Z36" s="383">
        <v>23.5</v>
      </c>
      <c r="AA36" s="383">
        <f t="shared" si="16"/>
        <v>0</v>
      </c>
      <c r="AB36" s="383">
        <v>1.2</v>
      </c>
      <c r="AC36" s="383">
        <f t="shared" si="17"/>
        <v>0</v>
      </c>
      <c r="AD36" s="384">
        <v>-4.2</v>
      </c>
      <c r="AE36" s="385">
        <f t="shared" si="18"/>
        <v>0</v>
      </c>
      <c r="AF36" s="149"/>
      <c r="AG36" s="198"/>
      <c r="AH36" s="198"/>
      <c r="AI36" s="198"/>
      <c r="AJ36" s="198"/>
      <c r="AK36" s="198"/>
      <c r="AL36" s="198"/>
      <c r="AM36" s="198"/>
      <c r="AN36" s="203"/>
      <c r="AO36" s="377"/>
      <c r="AP36" s="378"/>
      <c r="AQ36" s="377"/>
      <c r="AR36" s="378"/>
      <c r="AS36" s="152"/>
      <c r="AT36" s="152"/>
      <c r="AU36" s="152"/>
      <c r="AV36" s="152"/>
      <c r="AW36" s="152"/>
      <c r="AX36" s="152"/>
    </row>
    <row r="37" spans="1:50" ht="12.75" customHeight="1">
      <c r="A37" s="298"/>
      <c r="B37" s="300">
        <v>0</v>
      </c>
      <c r="C37" s="297">
        <v>3.5</v>
      </c>
      <c r="D37" s="296">
        <v>0</v>
      </c>
      <c r="E37" s="296">
        <v>141.2</v>
      </c>
      <c r="F37" s="296">
        <v>117.7</v>
      </c>
      <c r="G37" s="296">
        <v>0</v>
      </c>
      <c r="H37" s="296">
        <v>36.7</v>
      </c>
      <c r="I37" s="300">
        <v>0</v>
      </c>
      <c r="J37" s="149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49"/>
      <c r="X37" s="381" t="s">
        <v>114</v>
      </c>
      <c r="Y37" s="383">
        <f>G37</f>
        <v>0</v>
      </c>
      <c r="Z37" s="383">
        <v>23.5</v>
      </c>
      <c r="AA37" s="383">
        <f t="shared" si="16"/>
        <v>0</v>
      </c>
      <c r="AB37" s="383">
        <v>1.2</v>
      </c>
      <c r="AC37" s="383">
        <f t="shared" si="17"/>
        <v>0</v>
      </c>
      <c r="AD37" s="384">
        <v>4.2</v>
      </c>
      <c r="AE37" s="385">
        <f t="shared" si="18"/>
        <v>0</v>
      </c>
      <c r="AF37" s="149"/>
      <c r="AG37" s="198"/>
      <c r="AH37" s="198"/>
      <c r="AI37" s="198"/>
      <c r="AJ37" s="198"/>
      <c r="AK37" s="198"/>
      <c r="AL37" s="198"/>
      <c r="AM37" s="198"/>
      <c r="AN37" s="203"/>
      <c r="AO37" s="377"/>
      <c r="AP37" s="378"/>
      <c r="AQ37" s="377"/>
      <c r="AR37" s="378"/>
      <c r="AS37" s="152"/>
      <c r="AT37" s="152"/>
      <c r="AU37" s="152"/>
      <c r="AV37" s="152"/>
      <c r="AW37" s="152"/>
      <c r="AX37" s="152"/>
    </row>
    <row r="38" spans="1:50" ht="12.75">
      <c r="A38" s="149"/>
      <c r="B38" s="298"/>
      <c r="C38" s="293" t="s">
        <v>115</v>
      </c>
      <c r="D38" s="301" t="s">
        <v>116</v>
      </c>
      <c r="E38" s="243" t="s">
        <v>117</v>
      </c>
      <c r="F38" s="243" t="s">
        <v>118</v>
      </c>
      <c r="G38" s="243" t="s">
        <v>119</v>
      </c>
      <c r="H38" s="293" t="s">
        <v>120</v>
      </c>
      <c r="I38" s="298"/>
      <c r="J38" s="149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49"/>
      <c r="X38" s="381" t="s">
        <v>121</v>
      </c>
      <c r="Y38" s="382">
        <f>F35</f>
        <v>117.7</v>
      </c>
      <c r="Z38" s="383">
        <v>10.1</v>
      </c>
      <c r="AA38" s="383">
        <f t="shared" si="16"/>
        <v>1188.77</v>
      </c>
      <c r="AB38" s="383">
        <v>1.2</v>
      </c>
      <c r="AC38" s="383">
        <f t="shared" si="17"/>
        <v>141.24</v>
      </c>
      <c r="AD38" s="384">
        <v>-4.3</v>
      </c>
      <c r="AE38" s="385">
        <f t="shared" si="18"/>
        <v>-506.11</v>
      </c>
      <c r="AF38" s="149"/>
      <c r="AG38" s="198"/>
      <c r="AH38" s="198"/>
      <c r="AI38" s="198"/>
      <c r="AJ38" s="198"/>
      <c r="AK38" s="198"/>
      <c r="AL38" s="198"/>
      <c r="AM38" s="198"/>
      <c r="AN38" s="203"/>
      <c r="AO38" s="153"/>
      <c r="AP38" s="153"/>
      <c r="AQ38" s="153"/>
      <c r="AR38" s="153"/>
      <c r="AS38" s="152"/>
      <c r="AT38" s="152"/>
      <c r="AU38" s="152"/>
      <c r="AV38" s="152"/>
      <c r="AW38" s="152"/>
      <c r="AX38" s="152"/>
    </row>
    <row r="39" spans="1:50" ht="12.75">
      <c r="A39" s="149"/>
      <c r="B39" s="298"/>
      <c r="C39" s="297">
        <v>4</v>
      </c>
      <c r="D39" s="297">
        <v>0</v>
      </c>
      <c r="E39" s="244">
        <f>AT28</f>
        <v>-7</v>
      </c>
      <c r="F39" s="245" t="s">
        <v>122</v>
      </c>
      <c r="G39" s="246">
        <f>SUM(AS6:AS26)</f>
        <v>-14.290999999999883</v>
      </c>
      <c r="H39" s="297">
        <v>9</v>
      </c>
      <c r="I39" s="298"/>
      <c r="J39" s="149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49"/>
      <c r="X39" s="381" t="s">
        <v>123</v>
      </c>
      <c r="Y39" s="382">
        <f>F37</f>
        <v>117.7</v>
      </c>
      <c r="Z39" s="383">
        <v>10.1</v>
      </c>
      <c r="AA39" s="383">
        <f t="shared" si="16"/>
        <v>1188.77</v>
      </c>
      <c r="AB39" s="383">
        <v>1.2</v>
      </c>
      <c r="AC39" s="383">
        <f t="shared" si="17"/>
        <v>141.24</v>
      </c>
      <c r="AD39" s="384">
        <v>4.3</v>
      </c>
      <c r="AE39" s="385">
        <f t="shared" si="18"/>
        <v>506.11</v>
      </c>
      <c r="AF39" s="149"/>
      <c r="AG39" s="203"/>
      <c r="AH39" s="203"/>
      <c r="AI39" s="203"/>
      <c r="AJ39" s="203"/>
      <c r="AK39" s="203"/>
      <c r="AL39" s="203"/>
      <c r="AM39" s="203"/>
      <c r="AN39" s="203"/>
      <c r="AO39" s="153"/>
      <c r="AP39" s="153"/>
      <c r="AQ39" s="153"/>
      <c r="AR39" s="153"/>
      <c r="AS39" s="152"/>
      <c r="AT39" s="152"/>
      <c r="AU39" s="152"/>
      <c r="AV39" s="152"/>
      <c r="AW39" s="152"/>
      <c r="AX39" s="152"/>
    </row>
    <row r="40" spans="1:50" ht="12.75">
      <c r="A40" s="149"/>
      <c r="B40" s="386" t="s">
        <v>124</v>
      </c>
      <c r="C40" s="303" t="s">
        <v>125</v>
      </c>
      <c r="D40" s="301" t="s">
        <v>126</v>
      </c>
      <c r="E40" s="149"/>
      <c r="F40" s="245" t="s">
        <v>127</v>
      </c>
      <c r="G40" s="246">
        <f>AE61</f>
        <v>10.00000000000001</v>
      </c>
      <c r="H40" s="293" t="s">
        <v>128</v>
      </c>
      <c r="I40" s="304">
        <f>H39+H41+C35+C37+C39</f>
        <v>32.5</v>
      </c>
      <c r="J40" s="149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49"/>
      <c r="X40" s="381" t="s">
        <v>129</v>
      </c>
      <c r="Y40" s="383">
        <f>E35</f>
        <v>141.2</v>
      </c>
      <c r="Z40" s="383">
        <v>-2.8</v>
      </c>
      <c r="AA40" s="383">
        <f t="shared" si="16"/>
        <v>-395.35999999999996</v>
      </c>
      <c r="AB40" s="383">
        <v>1.2</v>
      </c>
      <c r="AC40" s="383">
        <f t="shared" si="17"/>
        <v>169.43999999999997</v>
      </c>
      <c r="AD40" s="384">
        <v>-4.1</v>
      </c>
      <c r="AE40" s="385">
        <f t="shared" si="18"/>
        <v>-578.92</v>
      </c>
      <c r="AF40" s="149"/>
      <c r="AG40" s="203">
        <f>VLOOKUP(D48,AG3:AG33,1)</f>
        <v>3400</v>
      </c>
      <c r="AH40" s="203">
        <f>VLOOKUP($AG40,$AG3:AH33,2)</f>
        <v>3.51</v>
      </c>
      <c r="AI40" s="203">
        <f>VLOOKUP($AG40,$AG3:AI33,3)</f>
        <v>10.52</v>
      </c>
      <c r="AJ40" s="203">
        <f>VLOOKUP($AG40,$AG3:AJ33,4)</f>
        <v>68.08</v>
      </c>
      <c r="AK40" s="203">
        <f>VLOOKUP($AG40,$AG3:AK33,5)</f>
        <v>6.23</v>
      </c>
      <c r="AL40" s="203">
        <f>VLOOKUP($AG40,$AG3:AL33,6)</f>
        <v>0.8</v>
      </c>
      <c r="AM40" s="203">
        <f>VLOOKUP($AG40,$AG3:AM33,7)</f>
        <v>18210</v>
      </c>
      <c r="AN40" s="203">
        <f>VLOOKUP($AG40,$AG3:AN33,8)</f>
        <v>0.25</v>
      </c>
      <c r="AO40" s="203">
        <f>VLOOKUP($AG40,$AG3:AO33,9)</f>
        <v>3</v>
      </c>
      <c r="AP40" s="203">
        <f>VLOOKUP($AG40,$AG3:AP33,10)</f>
        <v>10780</v>
      </c>
      <c r="AQ40" s="203">
        <f>VLOOKUP($AG40,$AG3:AQ33,11)</f>
        <v>3.27</v>
      </c>
      <c r="AR40" s="203">
        <f>VLOOKUP($AG40,$AG3:AR33,12)</f>
        <v>9830</v>
      </c>
      <c r="AS40" s="152"/>
      <c r="AT40" s="152"/>
      <c r="AU40" s="152"/>
      <c r="AV40" s="152"/>
      <c r="AW40" s="152"/>
      <c r="AX40" s="152"/>
    </row>
    <row r="41" spans="1:50" ht="12.75">
      <c r="A41" s="149"/>
      <c r="B41" s="297">
        <v>0.5</v>
      </c>
      <c r="C41" s="297">
        <v>0.9</v>
      </c>
      <c r="D41" s="297">
        <v>11</v>
      </c>
      <c r="E41" s="149"/>
      <c r="F41" s="245" t="s">
        <v>130</v>
      </c>
      <c r="G41" s="247">
        <f>G39+G40</f>
        <v>-4.2909999999998725</v>
      </c>
      <c r="H41" s="297">
        <v>9</v>
      </c>
      <c r="I41" s="305">
        <f>D39+D41+C43</f>
        <v>12.7</v>
      </c>
      <c r="J41" s="149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49"/>
      <c r="X41" s="381" t="s">
        <v>131</v>
      </c>
      <c r="Y41" s="383">
        <f>E37</f>
        <v>141.2</v>
      </c>
      <c r="Z41" s="383">
        <v>-2.8</v>
      </c>
      <c r="AA41" s="383">
        <f t="shared" si="16"/>
        <v>-395.35999999999996</v>
      </c>
      <c r="AB41" s="383">
        <v>1.2</v>
      </c>
      <c r="AC41" s="383">
        <f t="shared" si="17"/>
        <v>169.43999999999997</v>
      </c>
      <c r="AD41" s="384">
        <v>4.1</v>
      </c>
      <c r="AE41" s="385">
        <f t="shared" si="18"/>
        <v>578.92</v>
      </c>
      <c r="AF41" s="149"/>
      <c r="AG41" s="203">
        <f>AG40+100</f>
        <v>3500</v>
      </c>
      <c r="AH41" s="203">
        <f>VLOOKUP($AG41,$AG3:AH33,2)</f>
        <v>3.6</v>
      </c>
      <c r="AI41" s="203">
        <f>VLOOKUP($AG41,$AG3:AI33,3)</f>
        <v>10.57</v>
      </c>
      <c r="AJ41" s="203">
        <f>VLOOKUP($AG41,$AG3:AJ33,4)</f>
        <v>68.84</v>
      </c>
      <c r="AK41" s="203">
        <f>VLOOKUP($AG41,$AG3:AK33,5)</f>
        <v>6.17</v>
      </c>
      <c r="AL41" s="203">
        <f>VLOOKUP($AG41,$AG3:AL33,6)</f>
        <v>0.77</v>
      </c>
      <c r="AM41" s="203">
        <f>VLOOKUP($AG41,$AG3:AM33,7)</f>
        <v>18750</v>
      </c>
      <c r="AN41" s="203">
        <f>VLOOKUP($AG41,$AG3:AN33,8)</f>
        <v>0.23</v>
      </c>
      <c r="AO41" s="203">
        <f>VLOOKUP($AG41,$AG3:AO33,9)</f>
        <v>2.99</v>
      </c>
      <c r="AP41" s="203">
        <f>VLOOKUP($AG41,$AG3:AP33,10)</f>
        <v>11000</v>
      </c>
      <c r="AQ41" s="203">
        <f>VLOOKUP($AG41,$AG3:AQ33,11)</f>
        <v>3.25</v>
      </c>
      <c r="AR41" s="203">
        <f>VLOOKUP($AG41,$AG3:AR33,12)</f>
        <v>10000</v>
      </c>
      <c r="AS41" s="152"/>
      <c r="AT41" s="152"/>
      <c r="AU41" s="152"/>
      <c r="AV41" s="152"/>
      <c r="AW41" s="152"/>
      <c r="AX41" s="152"/>
    </row>
    <row r="42" spans="1:50" ht="12.75">
      <c r="A42" s="149"/>
      <c r="B42" s="293" t="s">
        <v>132</v>
      </c>
      <c r="C42" s="301" t="s">
        <v>133</v>
      </c>
      <c r="D42" s="299" t="s">
        <v>134</v>
      </c>
      <c r="E42" s="149"/>
      <c r="F42" s="149"/>
      <c r="G42" s="149"/>
      <c r="H42" s="149"/>
      <c r="I42" s="149"/>
      <c r="J42" s="149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49"/>
      <c r="X42" s="381" t="s">
        <v>135</v>
      </c>
      <c r="Y42" s="382">
        <f>D35</f>
        <v>0</v>
      </c>
      <c r="Z42" s="383">
        <v>-16.9</v>
      </c>
      <c r="AA42" s="383">
        <f t="shared" si="16"/>
        <v>0</v>
      </c>
      <c r="AB42" s="383">
        <v>0.4</v>
      </c>
      <c r="AC42" s="383">
        <f t="shared" si="17"/>
        <v>0</v>
      </c>
      <c r="AD42" s="384">
        <v>-2.6</v>
      </c>
      <c r="AE42" s="385">
        <f t="shared" si="18"/>
        <v>0</v>
      </c>
      <c r="AF42" s="149"/>
      <c r="AG42" s="203"/>
      <c r="AH42" s="240">
        <f aca="true" t="shared" si="19" ref="AH42:AR42">AH40+($D48-$AG40)*(AH41-AH40)/($AG41-$AG40)</f>
        <v>3.5756100000000006</v>
      </c>
      <c r="AI42" s="240">
        <f t="shared" si="19"/>
        <v>10.55645</v>
      </c>
      <c r="AJ42" s="240">
        <f t="shared" si="19"/>
        <v>68.63404000000001</v>
      </c>
      <c r="AK42" s="241">
        <f t="shared" si="19"/>
        <v>6.18626</v>
      </c>
      <c r="AL42" s="240">
        <f t="shared" si="19"/>
        <v>0.7781299999999999</v>
      </c>
      <c r="AM42" s="241">
        <f t="shared" si="19"/>
        <v>18603.660000000003</v>
      </c>
      <c r="AN42" s="240">
        <f t="shared" si="19"/>
        <v>0.2354199999999999</v>
      </c>
      <c r="AO42" s="240">
        <f t="shared" si="19"/>
        <v>2.99271</v>
      </c>
      <c r="AP42" s="242">
        <f t="shared" si="19"/>
        <v>10940.380000000001</v>
      </c>
      <c r="AQ42" s="240">
        <f t="shared" si="19"/>
        <v>3.25542</v>
      </c>
      <c r="AR42" s="242">
        <f t="shared" si="19"/>
        <v>9953.93</v>
      </c>
      <c r="AS42" s="152"/>
      <c r="AT42" s="152"/>
      <c r="AU42" s="152"/>
      <c r="AV42" s="152"/>
      <c r="AW42" s="152"/>
      <c r="AX42" s="152"/>
    </row>
    <row r="43" spans="1:50" ht="12.75">
      <c r="A43" s="149"/>
      <c r="B43" s="297">
        <v>0.5</v>
      </c>
      <c r="C43" s="297">
        <v>1.7</v>
      </c>
      <c r="D43" s="300">
        <v>0</v>
      </c>
      <c r="E43" s="149"/>
      <c r="F43" s="149"/>
      <c r="G43" s="149"/>
      <c r="H43" s="149"/>
      <c r="I43" s="149"/>
      <c r="J43" s="149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49"/>
      <c r="X43" s="381" t="s">
        <v>136</v>
      </c>
      <c r="Y43" s="382">
        <f>D37</f>
        <v>0</v>
      </c>
      <c r="Z43" s="383">
        <v>-16.9</v>
      </c>
      <c r="AA43" s="383">
        <f t="shared" si="16"/>
        <v>0</v>
      </c>
      <c r="AB43" s="383">
        <v>0.4</v>
      </c>
      <c r="AC43" s="383">
        <f t="shared" si="17"/>
        <v>0</v>
      </c>
      <c r="AD43" s="384">
        <v>2.6</v>
      </c>
      <c r="AE43" s="385">
        <f t="shared" si="18"/>
        <v>0</v>
      </c>
      <c r="AF43" s="149"/>
      <c r="AG43" s="203">
        <f>VLOOKUP(A49,AG3:AG33,1)</f>
        <v>3500</v>
      </c>
      <c r="AH43" s="203">
        <f>VLOOKUP(AG43,AG3:AH38,2)</f>
        <v>3.6</v>
      </c>
      <c r="AI43" s="203"/>
      <c r="AJ43" s="203"/>
      <c r="AK43" s="203"/>
      <c r="AL43" s="203"/>
      <c r="AM43" s="203"/>
      <c r="AN43" s="203"/>
      <c r="AO43" s="151"/>
      <c r="AP43" s="152"/>
      <c r="AQ43" s="152"/>
      <c r="AR43" s="152"/>
      <c r="AS43" s="152"/>
      <c r="AT43" s="152"/>
      <c r="AU43" s="152"/>
      <c r="AV43" s="152"/>
      <c r="AW43" s="152"/>
      <c r="AX43" s="152"/>
    </row>
    <row r="44" spans="1:50" ht="12.75">
      <c r="A44" s="149"/>
      <c r="B44" s="149"/>
      <c r="C44" s="149"/>
      <c r="D44" s="149"/>
      <c r="E44" s="149"/>
      <c r="F44" s="298"/>
      <c r="G44" s="149"/>
      <c r="H44" s="149"/>
      <c r="I44" s="149"/>
      <c r="J44" s="149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49"/>
      <c r="X44" s="381" t="s">
        <v>137</v>
      </c>
      <c r="Y44" s="382">
        <f>B35</f>
        <v>0</v>
      </c>
      <c r="Z44" s="383">
        <v>-36.6</v>
      </c>
      <c r="AA44" s="383">
        <f t="shared" si="16"/>
        <v>0</v>
      </c>
      <c r="AB44" s="383">
        <v>1.9</v>
      </c>
      <c r="AC44" s="383">
        <f t="shared" si="17"/>
        <v>0</v>
      </c>
      <c r="AD44" s="384">
        <v>0</v>
      </c>
      <c r="AE44" s="385">
        <f t="shared" si="18"/>
        <v>0</v>
      </c>
      <c r="AF44" s="149"/>
      <c r="AG44" s="203">
        <f>AG43+100</f>
        <v>3600</v>
      </c>
      <c r="AH44" s="203">
        <f>VLOOKUP(AG44,AG3:AH38,2)</f>
        <v>3.7</v>
      </c>
      <c r="AI44" s="203"/>
      <c r="AJ44" s="203"/>
      <c r="AK44" s="203"/>
      <c r="AL44" s="203"/>
      <c r="AM44" s="203"/>
      <c r="AN44" s="203"/>
      <c r="AO44" s="151"/>
      <c r="AP44" s="152"/>
      <c r="AQ44" s="152"/>
      <c r="AR44" s="152"/>
      <c r="AS44" s="152"/>
      <c r="AT44" s="152"/>
      <c r="AU44" s="152"/>
      <c r="AV44" s="152"/>
      <c r="AW44" s="152"/>
      <c r="AX44" s="152"/>
    </row>
    <row r="45" spans="1:50" ht="12.75">
      <c r="A45" s="209"/>
      <c r="B45" s="249" t="s">
        <v>138</v>
      </c>
      <c r="C45" s="306">
        <f>B35+D35+E35+F35+G35+H35+I35+D37+E37+F37+G37+H37</f>
        <v>592.2</v>
      </c>
      <c r="E45" s="249" t="s">
        <v>139</v>
      </c>
      <c r="F45" s="307">
        <f>C35+C37+C39+D39+D41+H39+H41+I37+C41+C43</f>
        <v>46.1</v>
      </c>
      <c r="G45" s="248"/>
      <c r="H45" s="249" t="s">
        <v>140</v>
      </c>
      <c r="I45" s="308">
        <f>A35</f>
        <v>66</v>
      </c>
      <c r="J45" s="149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49"/>
      <c r="X45" s="226" t="s">
        <v>141</v>
      </c>
      <c r="Y45" s="198">
        <f>I37</f>
        <v>0</v>
      </c>
      <c r="Z45" s="198">
        <v>36.7</v>
      </c>
      <c r="AA45" s="198">
        <f t="shared" si="16"/>
        <v>0</v>
      </c>
      <c r="AB45" s="198">
        <v>3.84</v>
      </c>
      <c r="AC45" s="198">
        <f t="shared" si="17"/>
        <v>0</v>
      </c>
      <c r="AD45" s="227">
        <v>-2.6</v>
      </c>
      <c r="AE45" s="228">
        <f t="shared" si="18"/>
        <v>0</v>
      </c>
      <c r="AF45" s="149"/>
      <c r="AG45" s="203"/>
      <c r="AH45" s="240">
        <f>AH43+(A49-AG43)*(AH44-AH43)/(AG44-AG43)</f>
        <v>3.657604878048781</v>
      </c>
      <c r="AI45" s="203"/>
      <c r="AJ45" s="203"/>
      <c r="AK45" s="203"/>
      <c r="AL45" s="203"/>
      <c r="AM45" s="203"/>
      <c r="AN45" s="203"/>
      <c r="AO45" s="151"/>
      <c r="AP45" s="152"/>
      <c r="AQ45" s="152"/>
      <c r="AR45" s="152"/>
      <c r="AS45" s="152"/>
      <c r="AT45" s="152"/>
      <c r="AU45" s="152"/>
      <c r="AV45" s="152"/>
      <c r="AW45" s="152"/>
      <c r="AX45" s="152"/>
    </row>
    <row r="46" spans="1:50" ht="12.75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49"/>
      <c r="X46" s="387" t="s">
        <v>142</v>
      </c>
      <c r="Y46" s="388">
        <f>H41</f>
        <v>9</v>
      </c>
      <c r="Z46" s="388">
        <v>33.8</v>
      </c>
      <c r="AA46" s="388">
        <f t="shared" si="16"/>
        <v>304.2</v>
      </c>
      <c r="AB46" s="388">
        <v>3.7</v>
      </c>
      <c r="AC46" s="388">
        <f t="shared" si="17"/>
        <v>33.300000000000004</v>
      </c>
      <c r="AD46" s="389">
        <v>2.2</v>
      </c>
      <c r="AE46" s="390">
        <f t="shared" si="18"/>
        <v>19.8</v>
      </c>
      <c r="AG46" s="203"/>
      <c r="AH46" s="203"/>
      <c r="AI46" s="203"/>
      <c r="AJ46" s="203"/>
      <c r="AK46" s="203"/>
      <c r="AL46" s="203"/>
      <c r="AM46" s="203"/>
      <c r="AN46" s="203"/>
      <c r="AO46" s="151"/>
      <c r="AP46" s="152"/>
      <c r="AQ46" s="152"/>
      <c r="AR46" s="152"/>
      <c r="AS46" s="152"/>
      <c r="AT46" s="152"/>
      <c r="AU46" s="152"/>
      <c r="AV46" s="152"/>
      <c r="AW46" s="152"/>
      <c r="AX46" s="152"/>
    </row>
    <row r="47" spans="1:50" ht="12.75">
      <c r="A47" s="149"/>
      <c r="C47" s="149"/>
      <c r="D47" s="149"/>
      <c r="E47" s="149"/>
      <c r="F47" s="149"/>
      <c r="G47" s="149"/>
      <c r="H47" s="149"/>
      <c r="I47"/>
      <c r="J47" s="149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49"/>
      <c r="X47" s="387" t="s">
        <v>143</v>
      </c>
      <c r="Y47" s="388">
        <f>H39</f>
        <v>9</v>
      </c>
      <c r="Z47" s="388">
        <v>33.8</v>
      </c>
      <c r="AA47" s="388">
        <f t="shared" si="16"/>
        <v>304.2</v>
      </c>
      <c r="AB47" s="388">
        <v>3.7</v>
      </c>
      <c r="AC47" s="388">
        <f t="shared" si="17"/>
        <v>33.300000000000004</v>
      </c>
      <c r="AD47" s="389">
        <v>-2.2</v>
      </c>
      <c r="AE47" s="390">
        <f t="shared" si="18"/>
        <v>-19.8</v>
      </c>
      <c r="AN47" s="248"/>
      <c r="AO47" s="151"/>
      <c r="AP47" s="152"/>
      <c r="AQ47" s="152"/>
      <c r="AR47" s="152"/>
      <c r="AS47" s="152"/>
      <c r="AT47" s="152"/>
      <c r="AU47" s="152"/>
      <c r="AV47" s="152"/>
      <c r="AW47" s="152"/>
      <c r="AX47" s="152"/>
    </row>
    <row r="48" spans="1:50" ht="12.75">
      <c r="A48" s="252" t="s">
        <v>144</v>
      </c>
      <c r="B48" s="253">
        <v>1</v>
      </c>
      <c r="C48" s="259" t="s">
        <v>145</v>
      </c>
      <c r="D48" s="307">
        <f>AC25+Y61+Y66</f>
        <v>3472.9000000000005</v>
      </c>
      <c r="E48" s="149"/>
      <c r="F48" s="257" t="s">
        <v>146</v>
      </c>
      <c r="G48" s="310">
        <f>AK42</f>
        <v>6.18626</v>
      </c>
      <c r="H48" s="149"/>
      <c r="I48" s="149"/>
      <c r="J48" s="149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49"/>
      <c r="X48" s="387" t="s">
        <v>147</v>
      </c>
      <c r="Y48" s="388">
        <f>D41</f>
        <v>11</v>
      </c>
      <c r="Z48" s="388">
        <v>-20.1</v>
      </c>
      <c r="AA48" s="388">
        <f t="shared" si="16"/>
        <v>-221.10000000000002</v>
      </c>
      <c r="AB48" s="388">
        <v>1.9</v>
      </c>
      <c r="AC48" s="388">
        <f t="shared" si="17"/>
        <v>20.9</v>
      </c>
      <c r="AD48" s="389">
        <v>5.9</v>
      </c>
      <c r="AE48" s="390">
        <f t="shared" si="18"/>
        <v>64.9</v>
      </c>
      <c r="AN48" s="248"/>
      <c r="AO48" s="151"/>
      <c r="AP48" s="152"/>
      <c r="AQ48" s="152"/>
      <c r="AR48" s="152"/>
      <c r="AS48" s="152"/>
      <c r="AT48" s="152"/>
      <c r="AU48" s="152"/>
      <c r="AV48" s="152"/>
      <c r="AW48" s="152"/>
      <c r="AX48" s="152"/>
    </row>
    <row r="49" spans="1:50" ht="12.75">
      <c r="A49" s="254">
        <f>D48-D48*(B48-1.025)/1.025</f>
        <v>3557.604878048781</v>
      </c>
      <c r="B49" s="255"/>
      <c r="C49" s="259" t="s">
        <v>148</v>
      </c>
      <c r="D49" s="310">
        <f>D51/D48</f>
        <v>4.211376947219903</v>
      </c>
      <c r="E49" s="149"/>
      <c r="F49" s="259" t="s">
        <v>149</v>
      </c>
      <c r="G49" s="307">
        <f>AJ42*100</f>
        <v>6863.404000000001</v>
      </c>
      <c r="H49" s="149"/>
      <c r="I49" s="256" t="s">
        <v>150</v>
      </c>
      <c r="J49" s="149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49"/>
      <c r="X49" s="387" t="s">
        <v>151</v>
      </c>
      <c r="Y49" s="388">
        <f>D39</f>
        <v>0</v>
      </c>
      <c r="Z49" s="388">
        <v>-20.1</v>
      </c>
      <c r="AA49" s="388">
        <f t="shared" si="16"/>
        <v>0</v>
      </c>
      <c r="AB49" s="388">
        <v>1.9</v>
      </c>
      <c r="AC49" s="388">
        <f t="shared" si="17"/>
        <v>0</v>
      </c>
      <c r="AD49" s="389">
        <v>-5.9</v>
      </c>
      <c r="AE49" s="390">
        <f t="shared" si="18"/>
        <v>0</v>
      </c>
      <c r="AN49" s="248"/>
      <c r="AO49" s="151"/>
      <c r="AP49" s="152"/>
      <c r="AQ49" s="152"/>
      <c r="AR49" s="152"/>
      <c r="AS49" s="152"/>
      <c r="AT49" s="152"/>
      <c r="AU49" s="152"/>
      <c r="AV49" s="152"/>
      <c r="AW49" s="152"/>
      <c r="AX49" s="152"/>
    </row>
    <row r="50" spans="1:50" ht="12.75">
      <c r="A50" s="257" t="s">
        <v>152</v>
      </c>
      <c r="B50" s="258">
        <f>B51+I51/2</f>
        <v>3.461115237508897</v>
      </c>
      <c r="C50" s="259" t="s">
        <v>153</v>
      </c>
      <c r="D50" s="311">
        <f>AD25+AA61+AA66</f>
        <v>-1081.3930000000018</v>
      </c>
      <c r="E50" s="149"/>
      <c r="F50" s="259" t="s">
        <v>8</v>
      </c>
      <c r="G50" s="307">
        <f>AI42</f>
        <v>10.55645</v>
      </c>
      <c r="H50" s="259" t="s">
        <v>154</v>
      </c>
      <c r="I50" s="317">
        <f>AH42</f>
        <v>3.5756100000000006</v>
      </c>
      <c r="J50" s="149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49"/>
      <c r="X50" s="387" t="s">
        <v>155</v>
      </c>
      <c r="Y50" s="391">
        <f>C43</f>
        <v>1.7</v>
      </c>
      <c r="Z50" s="388">
        <v>-23.8</v>
      </c>
      <c r="AA50" s="388">
        <f t="shared" si="16"/>
        <v>-40.46</v>
      </c>
      <c r="AB50" s="388">
        <v>4.2</v>
      </c>
      <c r="AC50" s="388">
        <f t="shared" si="17"/>
        <v>7.14</v>
      </c>
      <c r="AD50" s="389">
        <v>3.4</v>
      </c>
      <c r="AE50" s="390">
        <f t="shared" si="18"/>
        <v>5.779999999999999</v>
      </c>
      <c r="AN50" s="248"/>
      <c r="AO50" s="151"/>
      <c r="AP50" s="152"/>
      <c r="AQ50" s="152"/>
      <c r="AR50" s="152"/>
      <c r="AS50" s="152"/>
      <c r="AT50" s="152"/>
      <c r="AU50" s="152"/>
      <c r="AV50" s="152"/>
      <c r="AW50" s="152"/>
      <c r="AX50" s="152"/>
    </row>
    <row r="51" spans="1:50" ht="12.75">
      <c r="A51" s="259" t="s">
        <v>156</v>
      </c>
      <c r="B51" s="253">
        <f>AH45</f>
        <v>3.657604878048781</v>
      </c>
      <c r="C51" s="259" t="s">
        <v>157</v>
      </c>
      <c r="D51" s="307">
        <f>AE25+AC61+AC66</f>
        <v>14625.691000000003</v>
      </c>
      <c r="E51" s="210" t="s">
        <v>158</v>
      </c>
      <c r="F51" s="259" t="s">
        <v>12</v>
      </c>
      <c r="G51" s="314">
        <f>AM42</f>
        <v>18603.660000000003</v>
      </c>
      <c r="H51" s="259" t="s">
        <v>159</v>
      </c>
      <c r="I51" s="318">
        <f>((D50+I56)/G49-G52)</f>
        <v>-0.39297928107976754</v>
      </c>
      <c r="J51" s="149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49"/>
      <c r="X51" s="387" t="s">
        <v>160</v>
      </c>
      <c r="Y51" s="388">
        <f>C35</f>
        <v>7</v>
      </c>
      <c r="Z51" s="388">
        <v>-23.9</v>
      </c>
      <c r="AA51" s="388">
        <f t="shared" si="16"/>
        <v>-167.29999999999998</v>
      </c>
      <c r="AB51" s="388">
        <v>2.5</v>
      </c>
      <c r="AC51" s="388">
        <f t="shared" si="17"/>
        <v>17.5</v>
      </c>
      <c r="AD51" s="389">
        <v>-2.8</v>
      </c>
      <c r="AE51" s="390">
        <f t="shared" si="18"/>
        <v>-19.599999999999998</v>
      </c>
      <c r="AN51" s="248"/>
      <c r="AO51" s="151"/>
      <c r="AP51" s="152"/>
      <c r="AQ51" s="152"/>
      <c r="AR51" s="152"/>
      <c r="AS51" s="152"/>
      <c r="AT51" s="152"/>
      <c r="AU51" s="152"/>
      <c r="AV51" s="152"/>
      <c r="AW51" s="152"/>
      <c r="AX51" s="152"/>
    </row>
    <row r="52" spans="1:50" ht="12.75">
      <c r="A52" s="260" t="s">
        <v>161</v>
      </c>
      <c r="B52" s="258">
        <f>B53+(10.8*I51/84.9)</f>
        <v>3.804104221348836</v>
      </c>
      <c r="C52" s="259" t="s">
        <v>162</v>
      </c>
      <c r="D52" s="310">
        <f>G48-D49</f>
        <v>1.974883052780097</v>
      </c>
      <c r="E52" s="149"/>
      <c r="F52" s="259" t="s">
        <v>13</v>
      </c>
      <c r="G52" s="310">
        <f>AN42</f>
        <v>0.2354199999999999</v>
      </c>
      <c r="H52" s="259" t="s">
        <v>163</v>
      </c>
      <c r="I52" s="318">
        <f>I50+I51/2</f>
        <v>3.3791203594601167</v>
      </c>
      <c r="J52" s="149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49"/>
      <c r="X52" s="387" t="s">
        <v>164</v>
      </c>
      <c r="Y52" s="388">
        <f>C37</f>
        <v>3.5</v>
      </c>
      <c r="Z52" s="388">
        <v>-23.8</v>
      </c>
      <c r="AA52" s="388">
        <f t="shared" si="16"/>
        <v>-83.3</v>
      </c>
      <c r="AB52" s="388">
        <v>3.9</v>
      </c>
      <c r="AC52" s="388">
        <f t="shared" si="17"/>
        <v>13.65</v>
      </c>
      <c r="AD52" s="389">
        <v>-2</v>
      </c>
      <c r="AE52" s="390">
        <f t="shared" si="18"/>
        <v>-7</v>
      </c>
      <c r="AN52" s="248"/>
      <c r="AO52" s="151"/>
      <c r="AP52" s="152"/>
      <c r="AQ52" s="152"/>
      <c r="AR52" s="152"/>
      <c r="AS52" s="152"/>
      <c r="AT52" s="152"/>
      <c r="AU52" s="152"/>
      <c r="AV52" s="152"/>
      <c r="AW52" s="152"/>
      <c r="AX52" s="152"/>
    </row>
    <row r="53" spans="1:50" ht="12.75">
      <c r="A53" s="261" t="s">
        <v>165</v>
      </c>
      <c r="B53" s="258">
        <f>B51-I51/2</f>
        <v>3.854094518588665</v>
      </c>
      <c r="C53" s="259" t="s">
        <v>166</v>
      </c>
      <c r="D53" s="310">
        <f>D52-188/D48</f>
        <v>1.9207496196262486</v>
      </c>
      <c r="E53" s="210"/>
      <c r="F53" s="319" t="s">
        <v>167</v>
      </c>
      <c r="G53" s="315">
        <f>AL42</f>
        <v>0.7781299999999999</v>
      </c>
      <c r="H53" s="259" t="s">
        <v>168</v>
      </c>
      <c r="I53" s="318">
        <f>I50-I51/2</f>
        <v>3.7720996405398846</v>
      </c>
      <c r="J53" s="149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49"/>
      <c r="X53" s="387" t="s">
        <v>169</v>
      </c>
      <c r="Y53" s="388">
        <f>C39</f>
        <v>4</v>
      </c>
      <c r="Z53" s="388">
        <v>-28.5</v>
      </c>
      <c r="AA53" s="388">
        <f t="shared" si="16"/>
        <v>-114</v>
      </c>
      <c r="AB53" s="388">
        <v>0.6</v>
      </c>
      <c r="AC53" s="388">
        <f t="shared" si="17"/>
        <v>2.4</v>
      </c>
      <c r="AD53" s="389">
        <v>-5.4</v>
      </c>
      <c r="AE53" s="390">
        <f t="shared" si="18"/>
        <v>-21.6</v>
      </c>
      <c r="AO53" s="151"/>
      <c r="AP53" s="152"/>
      <c r="AQ53" s="152"/>
      <c r="AR53" s="152"/>
      <c r="AS53" s="152"/>
      <c r="AT53" s="152"/>
      <c r="AU53" s="152"/>
      <c r="AV53" s="152"/>
      <c r="AW53" s="152"/>
      <c r="AX53" s="152"/>
    </row>
    <row r="54" spans="1:50" ht="12.75">
      <c r="A54" s="149"/>
      <c r="B54" s="149"/>
      <c r="C54" s="259" t="s">
        <v>170</v>
      </c>
      <c r="D54" s="312">
        <f>D53/G53</f>
        <v>2.4684173847894937</v>
      </c>
      <c r="E54" s="205"/>
      <c r="F54" s="320" t="s">
        <v>171</v>
      </c>
      <c r="G54" s="316">
        <f>AO42</f>
        <v>2.99271</v>
      </c>
      <c r="H54" s="149"/>
      <c r="I54" s="149"/>
      <c r="J54" s="149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49"/>
      <c r="X54" s="387" t="s">
        <v>172</v>
      </c>
      <c r="Y54" s="388">
        <f>C41</f>
        <v>0.9</v>
      </c>
      <c r="Z54" s="388">
        <v>-34.5</v>
      </c>
      <c r="AA54" s="388">
        <f t="shared" si="16"/>
        <v>-31.05</v>
      </c>
      <c r="AB54" s="388">
        <v>3.4</v>
      </c>
      <c r="AC54" s="388">
        <f t="shared" si="17"/>
        <v>3.06</v>
      </c>
      <c r="AD54" s="389">
        <v>-4.2</v>
      </c>
      <c r="AE54" s="390">
        <f t="shared" si="18"/>
        <v>-3.7800000000000002</v>
      </c>
      <c r="AO54" s="151"/>
      <c r="AP54" s="152"/>
      <c r="AQ54" s="152"/>
      <c r="AR54" s="152"/>
      <c r="AS54" s="152"/>
      <c r="AT54" s="152"/>
      <c r="AU54" s="152"/>
      <c r="AV54" s="152"/>
      <c r="AW54" s="152"/>
      <c r="AX54" s="152"/>
    </row>
    <row r="55" spans="1:50" ht="13.5" thickBot="1">
      <c r="A55" s="203"/>
      <c r="B55" s="203"/>
      <c r="C55" s="259" t="s">
        <v>173</v>
      </c>
      <c r="D55" s="313">
        <f>G54/D53</f>
        <v>1.5580948028938515</v>
      </c>
      <c r="E55" s="205"/>
      <c r="F55" s="320" t="s">
        <v>174</v>
      </c>
      <c r="G55" s="315">
        <f>AQ42</f>
        <v>3.25542</v>
      </c>
      <c r="H55"/>
      <c r="I55"/>
      <c r="J55" s="203"/>
      <c r="K55" s="184"/>
      <c r="L55" s="184"/>
      <c r="M55" s="184"/>
      <c r="N55" s="184"/>
      <c r="O55" s="184"/>
      <c r="P55" s="184"/>
      <c r="Q55" s="184"/>
      <c r="R55" s="166"/>
      <c r="S55" s="166"/>
      <c r="T55" s="166"/>
      <c r="U55" s="184"/>
      <c r="V55" s="184"/>
      <c r="W55" s="203"/>
      <c r="X55" s="250" t="s">
        <v>175</v>
      </c>
      <c r="Y55" s="161">
        <v>0</v>
      </c>
      <c r="Z55" s="161">
        <v>-28.5</v>
      </c>
      <c r="AA55" s="161">
        <f t="shared" si="16"/>
        <v>0</v>
      </c>
      <c r="AB55" s="161">
        <v>0.6</v>
      </c>
      <c r="AC55" s="161">
        <f t="shared" si="17"/>
        <v>0</v>
      </c>
      <c r="AD55" s="251">
        <v>5.4</v>
      </c>
      <c r="AE55" s="228">
        <f t="shared" si="18"/>
        <v>0</v>
      </c>
      <c r="AO55" s="151"/>
      <c r="AP55" s="152"/>
      <c r="AQ55" s="152"/>
      <c r="AR55" s="152"/>
      <c r="AS55" s="152"/>
      <c r="AT55" s="152"/>
      <c r="AU55" s="152"/>
      <c r="AV55" s="152"/>
      <c r="AW55" s="152"/>
      <c r="AX55" s="152"/>
    </row>
    <row r="56" spans="1:50" ht="13.5" thickBot="1">
      <c r="A56" s="203"/>
      <c r="B56" s="203"/>
      <c r="C56" s="259" t="s">
        <v>176</v>
      </c>
      <c r="D56" s="313">
        <f>G55/D53</f>
        <v>1.6948695273637278</v>
      </c>
      <c r="E56" s="205"/>
      <c r="F56" s="205"/>
      <c r="G56" s="149"/>
      <c r="H56" s="376" t="s">
        <v>177</v>
      </c>
      <c r="I56" s="375">
        <v>0</v>
      </c>
      <c r="J56" s="149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49"/>
      <c r="X56" s="250" t="s">
        <v>178</v>
      </c>
      <c r="Y56" s="161">
        <v>0</v>
      </c>
      <c r="Z56" s="161">
        <v>-13.69</v>
      </c>
      <c r="AA56" s="161">
        <f t="shared" si="16"/>
        <v>0</v>
      </c>
      <c r="AB56" s="161">
        <v>1.5</v>
      </c>
      <c r="AC56" s="161">
        <f t="shared" si="17"/>
        <v>0</v>
      </c>
      <c r="AD56" s="251"/>
      <c r="AE56" s="228">
        <f t="shared" si="18"/>
        <v>0</v>
      </c>
      <c r="AO56" s="151"/>
      <c r="AP56" s="152"/>
      <c r="AQ56" s="152"/>
      <c r="AR56" s="152"/>
      <c r="AS56" s="152"/>
      <c r="AT56" s="152"/>
      <c r="AU56" s="152"/>
      <c r="AV56" s="152"/>
      <c r="AW56" s="152"/>
      <c r="AX56" s="152"/>
    </row>
    <row r="57" spans="1:50" ht="12.75">
      <c r="A57" s="262"/>
      <c r="B57" s="262"/>
      <c r="C57" s="152"/>
      <c r="D57" s="152"/>
      <c r="E57" s="152"/>
      <c r="F57" s="152"/>
      <c r="G57" s="152"/>
      <c r="H57" s="152"/>
      <c r="I57" s="152"/>
      <c r="J57" s="152"/>
      <c r="K57" s="281"/>
      <c r="L57" s="281"/>
      <c r="M57" s="281"/>
      <c r="N57" s="281"/>
      <c r="O57" s="281"/>
      <c r="P57" s="281"/>
      <c r="Q57" s="281"/>
      <c r="R57" s="166"/>
      <c r="S57" s="166"/>
      <c r="T57" s="166"/>
      <c r="U57" s="281"/>
      <c r="V57" s="281"/>
      <c r="W57" s="152"/>
      <c r="X57" s="250" t="s">
        <v>106</v>
      </c>
      <c r="Y57" s="161">
        <v>0</v>
      </c>
      <c r="Z57" s="161">
        <v>-36.53</v>
      </c>
      <c r="AA57" s="161">
        <f t="shared" si="16"/>
        <v>0</v>
      </c>
      <c r="AB57" s="161">
        <v>2.6</v>
      </c>
      <c r="AC57" s="161">
        <f t="shared" si="17"/>
        <v>0</v>
      </c>
      <c r="AD57" s="251"/>
      <c r="AE57" s="228">
        <f t="shared" si="18"/>
        <v>0</v>
      </c>
      <c r="AO57" s="151"/>
      <c r="AP57" s="152"/>
      <c r="AQ57" s="152"/>
      <c r="AR57" s="152"/>
      <c r="AS57" s="152"/>
      <c r="AT57" s="152"/>
      <c r="AU57" s="152"/>
      <c r="AV57" s="152"/>
      <c r="AW57" s="152"/>
      <c r="AX57" s="152"/>
    </row>
    <row r="58" spans="1:50" ht="12.75">
      <c r="A58" s="262"/>
      <c r="B58" s="262"/>
      <c r="C58" s="404"/>
      <c r="D58" s="405"/>
      <c r="E58" s="152"/>
      <c r="F58" s="152"/>
      <c r="G58" s="152"/>
      <c r="H58" s="152"/>
      <c r="I58" s="152"/>
      <c r="J58" s="152"/>
      <c r="K58" s="281"/>
      <c r="L58" s="281"/>
      <c r="M58" s="281"/>
      <c r="N58" s="281"/>
      <c r="O58" s="281"/>
      <c r="P58" s="281"/>
      <c r="Q58" s="281"/>
      <c r="R58" s="166"/>
      <c r="S58" s="166"/>
      <c r="T58" s="166"/>
      <c r="U58" s="281"/>
      <c r="V58" s="281"/>
      <c r="W58" s="152"/>
      <c r="X58" s="392" t="s">
        <v>93</v>
      </c>
      <c r="Y58" s="393">
        <f>A35</f>
        <v>66</v>
      </c>
      <c r="Z58" s="393">
        <v>-42.4</v>
      </c>
      <c r="AA58" s="393">
        <f t="shared" si="16"/>
        <v>-2798.4</v>
      </c>
      <c r="AB58" s="393">
        <v>4.6</v>
      </c>
      <c r="AC58" s="393">
        <f t="shared" si="17"/>
        <v>303.59999999999997</v>
      </c>
      <c r="AD58" s="394">
        <v>0</v>
      </c>
      <c r="AE58" s="395">
        <f t="shared" si="18"/>
        <v>0</v>
      </c>
      <c r="AO58" s="151"/>
      <c r="AP58" s="152"/>
      <c r="AQ58" s="152"/>
      <c r="AR58" s="152"/>
      <c r="AS58" s="152"/>
      <c r="AT58" s="152"/>
      <c r="AU58" s="152"/>
      <c r="AV58" s="152"/>
      <c r="AW58" s="152"/>
      <c r="AX58" s="152"/>
    </row>
    <row r="59" spans="1:50" ht="12.75">
      <c r="A59" s="248"/>
      <c r="B59" s="248"/>
      <c r="C59" s="249"/>
      <c r="R59" s="166"/>
      <c r="S59" s="166"/>
      <c r="T59" s="166"/>
      <c r="X59" s="396" t="s">
        <v>179</v>
      </c>
      <c r="Y59" s="397">
        <f>B43</f>
        <v>0.5</v>
      </c>
      <c r="Z59" s="398">
        <v>-26.8</v>
      </c>
      <c r="AA59" s="398">
        <f t="shared" si="16"/>
        <v>-13.4</v>
      </c>
      <c r="AB59" s="398">
        <v>0.4</v>
      </c>
      <c r="AC59" s="399">
        <f t="shared" si="17"/>
        <v>0.2</v>
      </c>
      <c r="AD59" s="400">
        <v>-5.2</v>
      </c>
      <c r="AE59" s="401">
        <f t="shared" si="18"/>
        <v>-2.6</v>
      </c>
      <c r="AO59" s="151"/>
      <c r="AP59" s="152"/>
      <c r="AQ59" s="152"/>
      <c r="AR59" s="152"/>
      <c r="AS59" s="152"/>
      <c r="AT59" s="152"/>
      <c r="AU59" s="152"/>
      <c r="AV59" s="152"/>
      <c r="AW59" s="152"/>
      <c r="AX59" s="152"/>
    </row>
    <row r="60" spans="1:50" ht="12.75">
      <c r="A60" s="248"/>
      <c r="B60" s="248"/>
      <c r="R60" s="166"/>
      <c r="S60" s="166"/>
      <c r="T60" s="166"/>
      <c r="X60" s="396" t="s">
        <v>180</v>
      </c>
      <c r="Y60" s="398">
        <f>B41</f>
        <v>0.5</v>
      </c>
      <c r="Z60" s="398">
        <v>-28.9</v>
      </c>
      <c r="AA60" s="398">
        <f>Z60*Y60</f>
        <v>-14.45</v>
      </c>
      <c r="AB60" s="398">
        <v>0.6</v>
      </c>
      <c r="AC60" s="398">
        <f t="shared" si="17"/>
        <v>0.3</v>
      </c>
      <c r="AD60" s="400">
        <v>-5.2</v>
      </c>
      <c r="AE60" s="401">
        <f t="shared" si="18"/>
        <v>-2.6</v>
      </c>
      <c r="AF60" s="248"/>
      <c r="AO60" s="151"/>
      <c r="AP60" s="152"/>
      <c r="AQ60" s="152"/>
      <c r="AR60" s="152"/>
      <c r="AS60" s="152"/>
      <c r="AT60" s="152"/>
      <c r="AU60" s="152"/>
      <c r="AV60" s="152"/>
      <c r="AW60" s="152"/>
      <c r="AX60" s="152"/>
    </row>
    <row r="61" spans="24:50" ht="13.5" thickBot="1">
      <c r="X61" s="263" t="s">
        <v>181</v>
      </c>
      <c r="Y61" s="264">
        <f>SUM(Y33:Y60)</f>
        <v>705.3000000000001</v>
      </c>
      <c r="Z61" s="265"/>
      <c r="AA61" s="266">
        <f>SUM(AA33:AA60)</f>
        <v>1192.9499999999987</v>
      </c>
      <c r="AB61" s="265"/>
      <c r="AC61" s="267">
        <f>SUM(AC33:AC60)</f>
        <v>1168.3099999999997</v>
      </c>
      <c r="AD61" s="265"/>
      <c r="AE61" s="267">
        <f>SUM(AE33:AE60)</f>
        <v>10.00000000000001</v>
      </c>
      <c r="AF61" s="248"/>
      <c r="AO61" s="151"/>
      <c r="AP61" s="152"/>
      <c r="AQ61" s="152"/>
      <c r="AR61" s="152"/>
      <c r="AS61" s="262"/>
      <c r="AT61" s="262"/>
      <c r="AU61" s="152"/>
      <c r="AV61" s="152"/>
      <c r="AW61" s="152"/>
      <c r="AX61" s="152"/>
    </row>
    <row r="62" spans="41:50" ht="13.5" thickBot="1">
      <c r="AO62" s="151"/>
      <c r="AP62" s="152"/>
      <c r="AQ62" s="152"/>
      <c r="AR62" s="152"/>
      <c r="AS62" s="262"/>
      <c r="AT62" s="262"/>
      <c r="AU62" s="152"/>
      <c r="AV62" s="152"/>
      <c r="AW62" s="152"/>
      <c r="AX62" s="152"/>
    </row>
    <row r="63" spans="1:50" s="248" customFormat="1" ht="13.5" thickBot="1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50"/>
      <c r="X63" s="268" t="s">
        <v>182</v>
      </c>
      <c r="Y63" s="268">
        <v>1416.4</v>
      </c>
      <c r="Z63" s="268">
        <v>-7.93</v>
      </c>
      <c r="AA63" s="268">
        <v>-11232.7</v>
      </c>
      <c r="AB63" s="268">
        <v>4.93</v>
      </c>
      <c r="AC63" s="268">
        <v>6989.1</v>
      </c>
      <c r="AF63" s="150"/>
      <c r="AG63" s="150"/>
      <c r="AH63" s="150"/>
      <c r="AI63" s="150"/>
      <c r="AJ63" s="150"/>
      <c r="AK63" s="150"/>
      <c r="AL63" s="150"/>
      <c r="AM63" s="150"/>
      <c r="AN63" s="150"/>
      <c r="AO63" s="151"/>
      <c r="AP63" s="152"/>
      <c r="AQ63" s="152"/>
      <c r="AR63" s="152"/>
      <c r="AS63" s="152"/>
      <c r="AT63" s="152"/>
      <c r="AU63" s="262"/>
      <c r="AV63" s="262"/>
      <c r="AW63" s="262"/>
      <c r="AX63" s="262"/>
    </row>
    <row r="64" spans="1:50" s="248" customFormat="1" ht="13.5" thickBot="1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50"/>
      <c r="X64" s="268" t="s">
        <v>183</v>
      </c>
      <c r="Y64" s="268">
        <v>8</v>
      </c>
      <c r="Z64" s="268">
        <v>16.4</v>
      </c>
      <c r="AA64" s="268">
        <v>131.2</v>
      </c>
      <c r="AB64" s="268">
        <v>6.2</v>
      </c>
      <c r="AC64" s="268">
        <v>49.6</v>
      </c>
      <c r="AF64" s="150"/>
      <c r="AG64" s="150"/>
      <c r="AH64" s="150"/>
      <c r="AI64" s="150"/>
      <c r="AJ64" s="150"/>
      <c r="AK64" s="150"/>
      <c r="AL64" s="150"/>
      <c r="AM64" s="150"/>
      <c r="AN64" s="150"/>
      <c r="AO64" s="151"/>
      <c r="AP64" s="152"/>
      <c r="AQ64" s="152"/>
      <c r="AR64" s="152"/>
      <c r="AS64" s="152"/>
      <c r="AT64" s="152"/>
      <c r="AU64" s="262"/>
      <c r="AV64" s="262"/>
      <c r="AW64" s="262"/>
      <c r="AX64" s="262"/>
    </row>
    <row r="65" spans="25:50" ht="13.5" thickBot="1">
      <c r="Y65" s="268">
        <v>1.8</v>
      </c>
      <c r="Z65" s="268">
        <v>-32.8</v>
      </c>
      <c r="AA65" s="268">
        <f>Y65*Z65</f>
        <v>-59.04</v>
      </c>
      <c r="AB65" s="268">
        <v>5.3</v>
      </c>
      <c r="AC65" s="327">
        <f>Y65*AB65</f>
        <v>9.54</v>
      </c>
      <c r="AD65" s="271"/>
      <c r="AE65" s="271"/>
      <c r="AO65" s="151"/>
      <c r="AP65" s="152"/>
      <c r="AQ65" s="152"/>
      <c r="AR65" s="152"/>
      <c r="AS65" s="152"/>
      <c r="AT65" s="152"/>
      <c r="AU65" s="152"/>
      <c r="AV65" s="152"/>
      <c r="AW65" s="152"/>
      <c r="AX65" s="152"/>
    </row>
    <row r="66" spans="24:50" ht="13.5" thickBot="1">
      <c r="X66" s="248"/>
      <c r="Y66" s="269">
        <f>SUM(Y63:Y65)</f>
        <v>1426.2</v>
      </c>
      <c r="Z66" s="270"/>
      <c r="AA66" s="269">
        <f>SUM(AA63:AA65)</f>
        <v>-11160.54</v>
      </c>
      <c r="AB66" s="270"/>
      <c r="AC66" s="269">
        <f>SUM(AC63:AC65)</f>
        <v>7048.240000000001</v>
      </c>
      <c r="AD66" s="248"/>
      <c r="AE66" s="248"/>
      <c r="AO66" s="151"/>
      <c r="AP66" s="152"/>
      <c r="AQ66" s="152"/>
      <c r="AR66" s="152"/>
      <c r="AS66" s="152"/>
      <c r="AT66" s="152"/>
      <c r="AU66" s="152"/>
      <c r="AV66" s="152"/>
      <c r="AW66" s="152"/>
      <c r="AX66" s="152"/>
    </row>
    <row r="67" spans="24:50" ht="12.75">
      <c r="X67" s="248"/>
      <c r="Y67" s="248"/>
      <c r="Z67" s="248"/>
      <c r="AA67" s="248"/>
      <c r="AB67" s="248"/>
      <c r="AC67" s="248"/>
      <c r="AD67" s="248"/>
      <c r="AE67" s="248"/>
      <c r="AO67" s="151"/>
      <c r="AP67" s="152"/>
      <c r="AQ67" s="152"/>
      <c r="AR67" s="152"/>
      <c r="AS67" s="152"/>
      <c r="AT67" s="152"/>
      <c r="AU67" s="152"/>
      <c r="AV67" s="152"/>
      <c r="AW67" s="152"/>
      <c r="AX67" s="152"/>
    </row>
    <row r="68" spans="41:50" ht="12.75">
      <c r="AO68" s="272"/>
      <c r="AP68" s="152"/>
      <c r="AQ68" s="262"/>
      <c r="AR68" s="262"/>
      <c r="AS68" s="152"/>
      <c r="AT68" s="152"/>
      <c r="AU68" s="152"/>
      <c r="AV68" s="152"/>
      <c r="AW68" s="152"/>
      <c r="AX68" s="152"/>
    </row>
    <row r="69" spans="41:50" ht="12.75">
      <c r="AO69" s="273"/>
      <c r="AP69" s="262"/>
      <c r="AQ69" s="262"/>
      <c r="AR69" s="262"/>
      <c r="AS69" s="152"/>
      <c r="AT69" s="152"/>
      <c r="AU69" s="152"/>
      <c r="AV69" s="152"/>
      <c r="AW69" s="152"/>
      <c r="AX69" s="152"/>
    </row>
    <row r="70" spans="41:50" ht="12.75">
      <c r="AO70" s="273"/>
      <c r="AP70" s="262"/>
      <c r="AQ70" s="152"/>
      <c r="AR70" s="152"/>
      <c r="AS70" s="152"/>
      <c r="AT70" s="152"/>
      <c r="AU70" s="152"/>
      <c r="AV70" s="152"/>
      <c r="AW70" s="152"/>
      <c r="AX70" s="152"/>
    </row>
    <row r="71" spans="42:50" ht="12.75">
      <c r="AP71" s="152"/>
      <c r="AQ71" s="152"/>
      <c r="AR71" s="152"/>
      <c r="AS71" s="152"/>
      <c r="AT71" s="152"/>
      <c r="AU71" s="152"/>
      <c r="AV71" s="152"/>
      <c r="AW71" s="152"/>
      <c r="AX71" s="152"/>
    </row>
    <row r="72" spans="42:50" ht="12.75">
      <c r="AP72" s="152"/>
      <c r="AQ72" s="152"/>
      <c r="AR72" s="152"/>
      <c r="AS72" s="152"/>
      <c r="AT72" s="152"/>
      <c r="AU72" s="152"/>
      <c r="AV72" s="152"/>
      <c r="AW72" s="152"/>
      <c r="AX72" s="152"/>
    </row>
    <row r="73" spans="42:50" ht="12.75">
      <c r="AP73" s="152"/>
      <c r="AQ73" s="152"/>
      <c r="AR73" s="152"/>
      <c r="AS73" s="152"/>
      <c r="AT73" s="152"/>
      <c r="AU73" s="152"/>
      <c r="AV73" s="152"/>
      <c r="AW73" s="152"/>
      <c r="AX73" s="152"/>
    </row>
    <row r="74" spans="42:50" ht="12.75">
      <c r="AP74" s="152"/>
      <c r="AQ74" s="152"/>
      <c r="AR74" s="152"/>
      <c r="AS74" s="152"/>
      <c r="AT74" s="152"/>
      <c r="AU74" s="152"/>
      <c r="AV74" s="152"/>
      <c r="AW74" s="152"/>
      <c r="AX74" s="152"/>
    </row>
    <row r="75" spans="42:50" ht="12.75">
      <c r="AP75" s="152"/>
      <c r="AQ75" s="152"/>
      <c r="AR75" s="152"/>
      <c r="AS75" s="152"/>
      <c r="AT75" s="152"/>
      <c r="AU75" s="152"/>
      <c r="AV75" s="152"/>
      <c r="AW75" s="152"/>
      <c r="AX75" s="152"/>
    </row>
    <row r="76" spans="42:50" ht="12.75">
      <c r="AP76" s="152"/>
      <c r="AQ76" s="152"/>
      <c r="AR76" s="152"/>
      <c r="AS76" s="152"/>
      <c r="AT76" s="152"/>
      <c r="AU76" s="152"/>
      <c r="AV76" s="152"/>
      <c r="AW76" s="152"/>
      <c r="AX76" s="152"/>
    </row>
    <row r="77" spans="42:50" ht="12.75">
      <c r="AP77" s="152"/>
      <c r="AQ77" s="152"/>
      <c r="AR77" s="152"/>
      <c r="AS77" s="152"/>
      <c r="AT77" s="152"/>
      <c r="AU77" s="152"/>
      <c r="AV77" s="152"/>
      <c r="AW77" s="152"/>
      <c r="AX77" s="152"/>
    </row>
    <row r="78" spans="42:50" ht="12.75">
      <c r="AP78" s="152"/>
      <c r="AQ78" s="152"/>
      <c r="AR78" s="152"/>
      <c r="AS78" s="152"/>
      <c r="AT78" s="152"/>
      <c r="AU78" s="152"/>
      <c r="AV78" s="152"/>
      <c r="AW78" s="152"/>
      <c r="AX78" s="152"/>
    </row>
    <row r="79" spans="42:50" ht="12.75">
      <c r="AP79" s="152"/>
      <c r="AQ79" s="152"/>
      <c r="AR79" s="152"/>
      <c r="AS79" s="152"/>
      <c r="AT79" s="152"/>
      <c r="AU79" s="152"/>
      <c r="AV79" s="152"/>
      <c r="AW79" s="152"/>
      <c r="AX79" s="152"/>
    </row>
    <row r="80" spans="42:50" ht="12.75">
      <c r="AP80" s="152"/>
      <c r="AQ80" s="152"/>
      <c r="AR80" s="152"/>
      <c r="AS80" s="152"/>
      <c r="AT80" s="152"/>
      <c r="AU80" s="152"/>
      <c r="AV80" s="152"/>
      <c r="AW80" s="152"/>
      <c r="AX80" s="152"/>
    </row>
    <row r="81" spans="42:50" ht="12.75">
      <c r="AP81" s="152"/>
      <c r="AQ81" s="152"/>
      <c r="AR81" s="152"/>
      <c r="AS81" s="152"/>
      <c r="AT81" s="152"/>
      <c r="AU81" s="152"/>
      <c r="AV81" s="152"/>
      <c r="AW81" s="152"/>
      <c r="AX81" s="152"/>
    </row>
    <row r="82" spans="42:50" ht="12.75">
      <c r="AP82" s="152"/>
      <c r="AQ82" s="152"/>
      <c r="AR82" s="152"/>
      <c r="AS82" s="152"/>
      <c r="AT82" s="152"/>
      <c r="AU82" s="152"/>
      <c r="AV82" s="152"/>
      <c r="AW82" s="152"/>
      <c r="AX82" s="152"/>
    </row>
    <row r="83" spans="42:50" ht="12.75">
      <c r="AP83" s="152"/>
      <c r="AQ83" s="152"/>
      <c r="AR83" s="152"/>
      <c r="AS83" s="152"/>
      <c r="AT83" s="152"/>
      <c r="AU83" s="152"/>
      <c r="AV83" s="152"/>
      <c r="AW83" s="152"/>
      <c r="AX83" s="152"/>
    </row>
    <row r="84" spans="42:50" ht="12.75">
      <c r="AP84" s="152"/>
      <c r="AQ84" s="152"/>
      <c r="AR84" s="152"/>
      <c r="AU84" s="152"/>
      <c r="AV84" s="152"/>
      <c r="AW84" s="152"/>
      <c r="AX84" s="152"/>
    </row>
    <row r="85" spans="42:50" ht="12.75">
      <c r="AP85" s="152"/>
      <c r="AQ85" s="152"/>
      <c r="AR85" s="152"/>
      <c r="AU85" s="152"/>
      <c r="AV85" s="152"/>
      <c r="AW85" s="152"/>
      <c r="AX85" s="152"/>
    </row>
    <row r="86" spans="42:44" ht="12.75">
      <c r="AP86" s="152"/>
      <c r="AQ86" s="152"/>
      <c r="AR86" s="152"/>
    </row>
    <row r="87" spans="42:44" ht="12.75">
      <c r="AP87" s="152"/>
      <c r="AQ87" s="152"/>
      <c r="AR87" s="152"/>
    </row>
    <row r="88" spans="42:44" ht="12.75">
      <c r="AP88" s="152"/>
      <c r="AQ88" s="152"/>
      <c r="AR88" s="152"/>
    </row>
    <row r="89" spans="42:44" ht="12.75">
      <c r="AP89" s="152"/>
      <c r="AQ89" s="152"/>
      <c r="AR89" s="152"/>
    </row>
    <row r="90" spans="42:44" ht="12.75">
      <c r="AP90" s="152"/>
      <c r="AQ90" s="152"/>
      <c r="AR90" s="152"/>
    </row>
  </sheetData>
  <printOptions/>
  <pageMargins left="1.1811023622047245" right="0.5905511811023623" top="0" bottom="0.7874015748031497" header="0" footer="0"/>
  <pageSetup blackAndWhite="1"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33"/>
  <sheetViews>
    <sheetView workbookViewId="0" topLeftCell="A13">
      <selection activeCell="E43" sqref="E43"/>
    </sheetView>
  </sheetViews>
  <sheetFormatPr defaultColWidth="9.00390625" defaultRowHeight="12.75"/>
  <cols>
    <col min="1" max="1" width="19.125" style="0" customWidth="1"/>
    <col min="2" max="2" width="10.00390625" style="0" customWidth="1"/>
    <col min="4" max="4" width="11.125" style="0" customWidth="1"/>
    <col min="11" max="11" width="10.375" style="0" customWidth="1"/>
    <col min="14" max="14" width="10.625" style="0" customWidth="1"/>
  </cols>
  <sheetData>
    <row r="1" spans="1:7" s="5" customFormat="1" ht="18.75" customHeight="1">
      <c r="A1" s="132" t="s">
        <v>365</v>
      </c>
      <c r="B1" s="133"/>
      <c r="C1" s="134"/>
      <c r="D1" s="135"/>
      <c r="E1" s="134"/>
      <c r="F1" s="136"/>
      <c r="G1" s="136"/>
    </row>
    <row r="2" spans="1:7" s="5" customFormat="1" ht="12.75">
      <c r="A2" s="147" t="str">
        <f>Груз!H3</f>
        <v>St.Petersburg</v>
      </c>
      <c r="B2" s="138"/>
      <c r="C2" s="145" t="str">
        <f>Груз!E3</f>
        <v>Исполнительный</v>
      </c>
      <c r="D2" s="88"/>
      <c r="E2" s="141"/>
      <c r="F2" s="137"/>
      <c r="G2" s="142" t="s">
        <v>184</v>
      </c>
    </row>
    <row r="3" spans="1:21" s="5" customFormat="1" ht="16.5" thickBot="1">
      <c r="A3" s="143"/>
      <c r="B3"/>
      <c r="C3" s="139" t="s">
        <v>185</v>
      </c>
      <c r="D3" s="140" t="str">
        <f>Груз!F4</f>
        <v>01/WB</v>
      </c>
      <c r="E3" s="144"/>
      <c r="F3" s="146" t="str">
        <f>Груз!H4</f>
        <v>Конец рейса -</v>
      </c>
      <c r="G3" s="144" t="str">
        <f>Груз!I4</f>
        <v>Rotterdam</v>
      </c>
      <c r="P3" s="28"/>
      <c r="Q3" s="29"/>
      <c r="R3" s="29"/>
      <c r="S3" s="29"/>
      <c r="T3" s="29"/>
      <c r="U3" s="29"/>
    </row>
    <row r="4" spans="1:21" ht="15.75" thickBot="1">
      <c r="A4" s="102" t="s">
        <v>186</v>
      </c>
      <c r="B4" s="103" t="s">
        <v>187</v>
      </c>
      <c r="C4" s="103" t="s">
        <v>188</v>
      </c>
      <c r="D4" s="103" t="s">
        <v>189</v>
      </c>
      <c r="E4" s="103" t="s">
        <v>190</v>
      </c>
      <c r="F4" s="104" t="s">
        <v>191</v>
      </c>
      <c r="G4" s="104" t="s">
        <v>192</v>
      </c>
      <c r="P4" s="20"/>
      <c r="Q4" s="21"/>
      <c r="R4" s="21"/>
      <c r="S4" s="21"/>
      <c r="T4" s="21"/>
      <c r="U4" s="21"/>
    </row>
    <row r="5" spans="1:28" ht="14.25">
      <c r="A5" s="105" t="s">
        <v>193</v>
      </c>
      <c r="B5" s="106">
        <v>1416.4</v>
      </c>
      <c r="C5" s="107">
        <v>-7.93</v>
      </c>
      <c r="D5" s="106">
        <f>B5*C5</f>
        <v>-11232.052</v>
      </c>
      <c r="E5" s="107">
        <v>4.93</v>
      </c>
      <c r="F5" s="106">
        <f>B5*E5</f>
        <v>6982.852</v>
      </c>
      <c r="G5" s="108"/>
      <c r="W5" s="20"/>
      <c r="X5" s="21"/>
      <c r="Y5" s="21"/>
      <c r="Z5" s="21"/>
      <c r="AA5" s="21"/>
      <c r="AB5" s="21"/>
    </row>
    <row r="6" spans="1:28" ht="14.25">
      <c r="A6" s="109" t="s">
        <v>194</v>
      </c>
      <c r="B6" s="110">
        <v>1.8</v>
      </c>
      <c r="C6" s="111">
        <v>-32.8</v>
      </c>
      <c r="D6" s="110">
        <f>B6*C6</f>
        <v>-59.04</v>
      </c>
      <c r="E6" s="111">
        <v>5.3</v>
      </c>
      <c r="F6" s="110">
        <f>B6*E6</f>
        <v>9.54</v>
      </c>
      <c r="G6" s="112"/>
      <c r="W6" s="20"/>
      <c r="X6" s="21"/>
      <c r="Y6" s="21"/>
      <c r="Z6" s="21"/>
      <c r="AA6" s="21"/>
      <c r="AB6" s="21"/>
    </row>
    <row r="7" spans="1:25" ht="14.25">
      <c r="A7" s="109" t="s">
        <v>195</v>
      </c>
      <c r="B7" s="110">
        <v>8</v>
      </c>
      <c r="C7" s="111">
        <v>16.4</v>
      </c>
      <c r="D7" s="110">
        <f>B7*C7</f>
        <v>131.2</v>
      </c>
      <c r="E7" s="111">
        <v>6.2</v>
      </c>
      <c r="F7" s="110">
        <f>B7*E7</f>
        <v>49.6</v>
      </c>
      <c r="G7" s="112"/>
      <c r="X7" s="12" t="s">
        <v>196</v>
      </c>
      <c r="Y7" s="14"/>
    </row>
    <row r="8" spans="1:38" ht="14.25">
      <c r="A8" s="109" t="s">
        <v>197</v>
      </c>
      <c r="B8" s="110">
        <f>Груз!Y45+Груз!Y46+Груз!Y47+Груз!Y51+Груз!Y52+Груз!Y53</f>
        <v>32.5</v>
      </c>
      <c r="C8" s="111">
        <f>D8/B8</f>
        <v>7.501538461538462</v>
      </c>
      <c r="D8" s="110">
        <f>Груз!AA45+Груз!AA46+Груз!AA47+Груз!AA51+Груз!AA52+Груз!AA53</f>
        <v>243.8</v>
      </c>
      <c r="E8" s="111">
        <f>F8/B8</f>
        <v>3.081538461538462</v>
      </c>
      <c r="F8" s="110">
        <f>SUM(Груз!AC51:AC53)+SUM(Груз!AC45:AC47)</f>
        <v>100.15</v>
      </c>
      <c r="G8" s="112">
        <v>180</v>
      </c>
      <c r="W8" s="10" t="s">
        <v>198</v>
      </c>
      <c r="X8" s="11"/>
      <c r="Y8" s="12"/>
      <c r="Z8" s="13"/>
      <c r="AA8" s="13" t="s">
        <v>199</v>
      </c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4"/>
    </row>
    <row r="9" spans="1:38" ht="14.25">
      <c r="A9" s="109" t="s">
        <v>200</v>
      </c>
      <c r="B9" s="110">
        <f>Груз!Y48+Груз!Y49+Груз!Y50</f>
        <v>12.7</v>
      </c>
      <c r="C9" s="111">
        <f>D9/B9</f>
        <v>-20.595275590551182</v>
      </c>
      <c r="D9" s="110">
        <f>Груз!AA48+Груз!AA49+Груз!AA50</f>
        <v>-261.56</v>
      </c>
      <c r="E9" s="111">
        <f>F9/B9</f>
        <v>2.2078740157480317</v>
      </c>
      <c r="F9" s="110">
        <f>SUM(Груз!AC48:AC50)</f>
        <v>28.04</v>
      </c>
      <c r="G9" s="112"/>
      <c r="W9" s="15"/>
      <c r="X9" s="16"/>
      <c r="Y9" s="17">
        <v>0.5</v>
      </c>
      <c r="Z9" s="17">
        <v>1</v>
      </c>
      <c r="AA9" s="17">
        <v>1.5</v>
      </c>
      <c r="AB9" s="17">
        <v>2</v>
      </c>
      <c r="AC9" s="17">
        <v>2.5</v>
      </c>
      <c r="AD9" s="17">
        <v>3</v>
      </c>
      <c r="AE9" s="17">
        <v>3.5</v>
      </c>
      <c r="AF9" s="17">
        <v>4</v>
      </c>
      <c r="AG9" s="17">
        <v>4.5</v>
      </c>
      <c r="AH9" s="17">
        <v>5</v>
      </c>
      <c r="AI9" s="17">
        <v>5.5</v>
      </c>
      <c r="AJ9" s="17">
        <v>6</v>
      </c>
      <c r="AK9" s="17">
        <v>6.5</v>
      </c>
      <c r="AL9" s="17">
        <v>7</v>
      </c>
    </row>
    <row r="10" spans="1:38" ht="14.25">
      <c r="A10" s="109" t="s">
        <v>201</v>
      </c>
      <c r="B10" s="110">
        <f>Груз!Y54+Груз!Y55</f>
        <v>0.9</v>
      </c>
      <c r="C10" s="111">
        <f>D10/B10</f>
        <v>-34.5</v>
      </c>
      <c r="D10" s="110">
        <f>Груз!AA54+Груз!AA55</f>
        <v>-31.05</v>
      </c>
      <c r="E10" s="111">
        <f>F10/B10</f>
        <v>3.4</v>
      </c>
      <c r="F10" s="110">
        <f>SUM(Груз!AC54:AC55)</f>
        <v>3.06</v>
      </c>
      <c r="G10" s="112"/>
      <c r="W10" s="12" t="s">
        <v>202</v>
      </c>
      <c r="X10" s="14"/>
      <c r="Y10" s="17" t="s">
        <v>203</v>
      </c>
      <c r="Z10" s="17">
        <v>706</v>
      </c>
      <c r="AA10" s="17">
        <v>785</v>
      </c>
      <c r="AB10" s="17">
        <v>863</v>
      </c>
      <c r="AC10" s="17">
        <v>922</v>
      </c>
      <c r="AD10" s="17">
        <v>971</v>
      </c>
      <c r="AE10" s="17">
        <v>1010</v>
      </c>
      <c r="AF10" s="17">
        <v>1049</v>
      </c>
      <c r="AG10" s="17">
        <v>1079</v>
      </c>
      <c r="AH10" s="17">
        <v>1108</v>
      </c>
      <c r="AI10" s="17">
        <v>1138</v>
      </c>
      <c r="AJ10" s="17">
        <v>1167</v>
      </c>
      <c r="AK10" s="17">
        <v>1196</v>
      </c>
      <c r="AL10" s="17">
        <v>1216</v>
      </c>
    </row>
    <row r="11" spans="1:38" ht="14.25">
      <c r="A11" s="109" t="s">
        <v>204</v>
      </c>
      <c r="B11" s="110">
        <f>L57</f>
        <v>66</v>
      </c>
      <c r="C11" s="111">
        <f>D11/B11</f>
        <v>-42.4</v>
      </c>
      <c r="D11" s="110">
        <f>Груз!AA58</f>
        <v>-2798.4</v>
      </c>
      <c r="E11" s="111">
        <f>F11/B11</f>
        <v>4.6</v>
      </c>
      <c r="F11" s="110">
        <f>Груз!AC58</f>
        <v>303.59999999999997</v>
      </c>
      <c r="G11" s="112"/>
      <c r="J11" s="9"/>
      <c r="W11" s="12" t="s">
        <v>205</v>
      </c>
      <c r="X11" s="14"/>
      <c r="Y11" s="12"/>
      <c r="Z11" s="17">
        <f aca="true" t="shared" si="0" ref="Z11:AL11">0.567*Z10</f>
        <v>400.30199999999996</v>
      </c>
      <c r="AA11" s="17">
        <f t="shared" si="0"/>
        <v>445.09499999999997</v>
      </c>
      <c r="AB11" s="17">
        <f t="shared" si="0"/>
        <v>489.32099999999997</v>
      </c>
      <c r="AC11" s="17">
        <f t="shared" si="0"/>
        <v>522.774</v>
      </c>
      <c r="AD11" s="17">
        <f t="shared" si="0"/>
        <v>550.5569999999999</v>
      </c>
      <c r="AE11" s="17">
        <f t="shared" si="0"/>
        <v>572.67</v>
      </c>
      <c r="AF11" s="17">
        <f t="shared" si="0"/>
        <v>594.7829999999999</v>
      </c>
      <c r="AG11" s="17">
        <f t="shared" si="0"/>
        <v>611.7929999999999</v>
      </c>
      <c r="AH11" s="17">
        <f t="shared" si="0"/>
        <v>628.236</v>
      </c>
      <c r="AI11" s="17">
        <f t="shared" si="0"/>
        <v>645.246</v>
      </c>
      <c r="AJ11" s="17">
        <f t="shared" si="0"/>
        <v>661.689</v>
      </c>
      <c r="AK11" s="17">
        <f t="shared" si="0"/>
        <v>678.132</v>
      </c>
      <c r="AL11" s="17">
        <f t="shared" si="0"/>
        <v>689.472</v>
      </c>
    </row>
    <row r="12" spans="1:7" ht="14.25">
      <c r="A12" s="109" t="s">
        <v>206</v>
      </c>
      <c r="B12" s="110">
        <f>Груз!I28</f>
        <v>538.9000000000001</v>
      </c>
      <c r="C12" s="111">
        <f>IF(B12=0,0,D12/B12)</f>
        <v>9.107181295231026</v>
      </c>
      <c r="D12" s="110">
        <f>Груз!AA3+Груз!AA5+Груз!AA6+Груз!AA8</f>
        <v>4907.860000000001</v>
      </c>
      <c r="E12" s="111">
        <f>IF(B12=0,0,F12/B12)</f>
        <v>2.889033215809983</v>
      </c>
      <c r="F12" s="110">
        <f>Груз!AE23</f>
        <v>1556.9</v>
      </c>
      <c r="G12" s="112"/>
    </row>
    <row r="13" spans="1:25" ht="14.25">
      <c r="A13" s="109" t="s">
        <v>207</v>
      </c>
      <c r="B13" s="110">
        <f>Груз!B28</f>
        <v>424</v>
      </c>
      <c r="C13" s="111">
        <f>IF(B13=0,0,D13/B13)</f>
        <v>0</v>
      </c>
      <c r="D13" s="110">
        <f>Груз!AA11+Груз!AA13+Груз!AA14+Груз!AA16</f>
        <v>0</v>
      </c>
      <c r="E13" s="111">
        <f>IF(B13=0,0,F13/B13)</f>
        <v>3.035849056603774</v>
      </c>
      <c r="F13" s="110">
        <f>Груз!AA23</f>
        <v>1287.2</v>
      </c>
      <c r="G13" s="112"/>
      <c r="X13" s="1" t="s">
        <v>208</v>
      </c>
      <c r="Y13" s="1"/>
    </row>
    <row r="14" spans="1:34" ht="14.25">
      <c r="A14" s="109" t="s">
        <v>209</v>
      </c>
      <c r="B14" s="110">
        <f>Груз!Y25+Груз!Y26</f>
        <v>378.5000000000001</v>
      </c>
      <c r="C14" s="111">
        <f>IF(B14=0,0,D14/B14)</f>
        <v>11.701180977542931</v>
      </c>
      <c r="D14" s="110">
        <f>Груз!AE3+Груз!AE5+Груз!AE6+Груз!AE8+Груз!AE11+Груз!AE13+Груз!AE14+Груз!AE16</f>
        <v>4428.897000000001</v>
      </c>
      <c r="E14" s="111">
        <f>IF(B14=0,0,F14/B14)</f>
        <v>9.418866578599737</v>
      </c>
      <c r="F14" s="110">
        <f>Груз!AA27</f>
        <v>3565.041000000001</v>
      </c>
      <c r="G14" s="112"/>
      <c r="W14" s="10" t="s">
        <v>198</v>
      </c>
      <c r="X14" s="11"/>
      <c r="Y14" s="12"/>
      <c r="Z14" s="13"/>
      <c r="AA14" s="13" t="s">
        <v>210</v>
      </c>
      <c r="AB14" s="13"/>
      <c r="AC14" s="13"/>
      <c r="AD14" s="13"/>
      <c r="AE14" s="13"/>
      <c r="AF14" s="13"/>
      <c r="AG14" s="13"/>
      <c r="AH14" s="14"/>
    </row>
    <row r="15" spans="1:34" ht="14.25">
      <c r="A15" s="109" t="s">
        <v>211</v>
      </c>
      <c r="B15" s="110">
        <f>Груз!C45</f>
        <v>592.2</v>
      </c>
      <c r="C15" s="111">
        <f>IF(B15=0,0,D15/B15)</f>
        <v>6.869317798041202</v>
      </c>
      <c r="D15" s="110">
        <f>SUM(Груз!AA33:AA44)</f>
        <v>4068.0099999999998</v>
      </c>
      <c r="E15" s="111">
        <f>IF(B15=0,0,F15/B15)</f>
        <v>1.237689969604863</v>
      </c>
      <c r="F15" s="110">
        <f>SUM(Груз!AC33:AC44)</f>
        <v>732.9599999999999</v>
      </c>
      <c r="G15" s="112">
        <v>200</v>
      </c>
      <c r="W15" s="15"/>
      <c r="X15" s="16"/>
      <c r="Y15" s="17">
        <v>0.04</v>
      </c>
      <c r="Z15" s="17">
        <v>0.05</v>
      </c>
      <c r="AA15" s="17">
        <v>0.06</v>
      </c>
      <c r="AB15" s="17">
        <v>0.07</v>
      </c>
      <c r="AC15" s="17">
        <v>0.08</v>
      </c>
      <c r="AD15" s="17">
        <v>0.09</v>
      </c>
      <c r="AE15" s="17">
        <v>0.1</v>
      </c>
      <c r="AF15" s="17">
        <v>0.11</v>
      </c>
      <c r="AG15" s="17">
        <v>0.12</v>
      </c>
      <c r="AH15" s="17">
        <v>0.13</v>
      </c>
    </row>
    <row r="16" spans="1:34" ht="15" thickBot="1">
      <c r="A16" s="279" t="s">
        <v>212</v>
      </c>
      <c r="B16" s="280">
        <f>SUM(B12:B14)</f>
        <v>1341.4</v>
      </c>
      <c r="C16" s="25"/>
      <c r="D16" s="24"/>
      <c r="E16" s="25"/>
      <c r="F16" s="24"/>
      <c r="G16" s="23"/>
      <c r="W16" s="12" t="s">
        <v>202</v>
      </c>
      <c r="X16" s="14"/>
      <c r="Y16" s="17">
        <v>24</v>
      </c>
      <c r="Z16" s="17">
        <v>25</v>
      </c>
      <c r="AA16" s="17">
        <v>27</v>
      </c>
      <c r="AB16" s="17">
        <v>29</v>
      </c>
      <c r="AC16" s="17">
        <v>30.7</v>
      </c>
      <c r="AD16" s="17">
        <v>32</v>
      </c>
      <c r="AE16" s="17">
        <v>33.4</v>
      </c>
      <c r="AF16" s="17">
        <v>34.4</v>
      </c>
      <c r="AG16" s="17">
        <v>35.3</v>
      </c>
      <c r="AH16" s="17">
        <v>36</v>
      </c>
    </row>
    <row r="17" spans="1:34" ht="15.75" thickBot="1">
      <c r="A17" s="113" t="s">
        <v>213</v>
      </c>
      <c r="B17" s="114">
        <f>Груз!D48</f>
        <v>3472.9000000000005</v>
      </c>
      <c r="C17" s="115">
        <f>D17/B17</f>
        <v>-0.1734386247804422</v>
      </c>
      <c r="D17" s="114">
        <f>SUM(D5:D15)</f>
        <v>-602.3349999999978</v>
      </c>
      <c r="E17" s="115">
        <f>F17/B17</f>
        <v>4.211376947219903</v>
      </c>
      <c r="F17" s="114">
        <f>Груз!D51</f>
        <v>14625.691000000003</v>
      </c>
      <c r="G17" s="116">
        <f>SUM(G5:G16)</f>
        <v>380</v>
      </c>
      <c r="W17" s="12" t="s">
        <v>214</v>
      </c>
      <c r="X17" s="14"/>
      <c r="Y17" s="17">
        <v>16</v>
      </c>
      <c r="Z17" s="17">
        <v>17</v>
      </c>
      <c r="AA17" s="17">
        <v>19.7</v>
      </c>
      <c r="AB17" s="17">
        <v>22.8</v>
      </c>
      <c r="AC17" s="17">
        <v>25.4</v>
      </c>
      <c r="AD17" s="17">
        <v>27.6</v>
      </c>
      <c r="AE17" s="17">
        <v>29.2</v>
      </c>
      <c r="AF17" s="17">
        <v>30.5</v>
      </c>
      <c r="AG17" s="17">
        <v>31.4</v>
      </c>
      <c r="AH17" s="17">
        <v>32</v>
      </c>
    </row>
    <row r="18" spans="1:7" ht="15" thickBot="1">
      <c r="A18" s="117"/>
      <c r="B18" s="117"/>
      <c r="C18" s="117"/>
      <c r="D18" s="117"/>
      <c r="E18" s="117"/>
      <c r="F18" s="117"/>
      <c r="G18" s="117"/>
    </row>
    <row r="19" spans="1:25" ht="14.25">
      <c r="A19" s="118" t="s">
        <v>213</v>
      </c>
      <c r="B19" s="119">
        <f>B17</f>
        <v>3472.9000000000005</v>
      </c>
      <c r="C19" s="120" t="s">
        <v>215</v>
      </c>
      <c r="D19" s="120"/>
      <c r="E19" s="120" t="s">
        <v>216</v>
      </c>
      <c r="F19" s="121">
        <f>Груз!G48</f>
        <v>6.18626</v>
      </c>
      <c r="G19" s="122" t="s">
        <v>78</v>
      </c>
      <c r="X19" s="12" t="s">
        <v>217</v>
      </c>
      <c r="Y19" s="14"/>
    </row>
    <row r="20" spans="1:26" ht="14.25">
      <c r="A20" s="123" t="s">
        <v>218</v>
      </c>
      <c r="B20" s="124">
        <f>Груз!D52</f>
        <v>1.974883052780097</v>
      </c>
      <c r="C20" s="125" t="s">
        <v>78</v>
      </c>
      <c r="D20" s="125"/>
      <c r="E20" s="125" t="s">
        <v>219</v>
      </c>
      <c r="F20" s="124">
        <f>Груз!B50</f>
        <v>3.461115237508897</v>
      </c>
      <c r="G20" s="126" t="s">
        <v>78</v>
      </c>
      <c r="W20" s="17" t="s">
        <v>220</v>
      </c>
      <c r="X20" s="17" t="s">
        <v>221</v>
      </c>
      <c r="Y20" s="17" t="s">
        <v>220</v>
      </c>
      <c r="Z20" s="17" t="s">
        <v>221</v>
      </c>
    </row>
    <row r="21" spans="1:26" ht="14.25">
      <c r="A21" s="123" t="s">
        <v>222</v>
      </c>
      <c r="B21" s="124">
        <f>Груз!D53</f>
        <v>1.9207496196262486</v>
      </c>
      <c r="C21" s="125" t="s">
        <v>78</v>
      </c>
      <c r="D21" s="125"/>
      <c r="E21" s="125" t="s">
        <v>223</v>
      </c>
      <c r="F21" s="124">
        <f>Груз!B52</f>
        <v>3.804104221348836</v>
      </c>
      <c r="G21" s="126" t="s">
        <v>78</v>
      </c>
      <c r="W21" s="17">
        <v>2.4</v>
      </c>
      <c r="X21" s="17">
        <v>1</v>
      </c>
      <c r="Y21" s="17">
        <v>3</v>
      </c>
      <c r="Z21" s="17">
        <v>0.9</v>
      </c>
    </row>
    <row r="22" spans="1:26" ht="14.25">
      <c r="A22" s="123" t="s">
        <v>224</v>
      </c>
      <c r="B22" s="124">
        <f>Груз!G53</f>
        <v>0.7781299999999999</v>
      </c>
      <c r="C22" s="125" t="s">
        <v>78</v>
      </c>
      <c r="D22" s="125"/>
      <c r="E22" s="125" t="s">
        <v>225</v>
      </c>
      <c r="F22" s="124">
        <f>Груз!B51</f>
        <v>3.657604878048781</v>
      </c>
      <c r="G22" s="126" t="s">
        <v>78</v>
      </c>
      <c r="W22" s="17" t="s">
        <v>226</v>
      </c>
      <c r="X22" s="17"/>
      <c r="Y22" s="17">
        <v>3.1</v>
      </c>
      <c r="Z22" s="17">
        <v>0.88</v>
      </c>
    </row>
    <row r="23" spans="1:26" ht="14.25">
      <c r="A23" s="123" t="s">
        <v>157</v>
      </c>
      <c r="B23" s="127">
        <f>F17</f>
        <v>14625.691000000003</v>
      </c>
      <c r="C23" s="125" t="s">
        <v>227</v>
      </c>
      <c r="D23" s="125"/>
      <c r="E23" s="125" t="s">
        <v>228</v>
      </c>
      <c r="F23" s="127">
        <f>B21/B22</f>
        <v>2.4684173847894937</v>
      </c>
      <c r="G23" s="126"/>
      <c r="W23" s="17">
        <v>2.5</v>
      </c>
      <c r="X23" s="17">
        <v>0.98</v>
      </c>
      <c r="Y23" s="17">
        <v>3.2</v>
      </c>
      <c r="Z23" s="17">
        <v>0.86</v>
      </c>
    </row>
    <row r="24" spans="1:31" ht="15" thickBot="1">
      <c r="A24" s="128" t="s">
        <v>229</v>
      </c>
      <c r="B24" s="129">
        <f>Груз!G51</f>
        <v>18603.660000000003</v>
      </c>
      <c r="C24" s="130" t="s">
        <v>227</v>
      </c>
      <c r="D24" s="130"/>
      <c r="E24" s="130" t="s">
        <v>230</v>
      </c>
      <c r="F24" s="129">
        <f>Груз!D55</f>
        <v>1.5580948028938515</v>
      </c>
      <c r="G24" s="131"/>
      <c r="AB24" s="17">
        <v>2.6</v>
      </c>
      <c r="AC24" s="17">
        <v>0.96</v>
      </c>
      <c r="AD24" s="17">
        <v>3.3</v>
      </c>
      <c r="AE24" s="17">
        <v>0.84</v>
      </c>
    </row>
    <row r="25" spans="3:31" ht="14.25">
      <c r="C25" s="26"/>
      <c r="D25" s="26"/>
      <c r="E25" s="26"/>
      <c r="F25" s="26"/>
      <c r="G25" s="26"/>
      <c r="AB25" s="17">
        <v>2.7</v>
      </c>
      <c r="AC25" s="17">
        <v>0.95</v>
      </c>
      <c r="AD25" s="17">
        <v>3.4</v>
      </c>
      <c r="AE25" s="17">
        <v>0.82</v>
      </c>
    </row>
    <row r="26" spans="3:31" ht="14.25">
      <c r="C26" s="26"/>
      <c r="D26" s="26"/>
      <c r="E26" s="26"/>
      <c r="F26" s="26"/>
      <c r="G26" s="26"/>
      <c r="AB26" s="17">
        <v>2.8</v>
      </c>
      <c r="AC26" s="17">
        <v>0.93</v>
      </c>
      <c r="AD26" s="17">
        <v>3.5</v>
      </c>
      <c r="AE26" s="17">
        <v>0.8</v>
      </c>
    </row>
    <row r="27" spans="3:31" ht="14.25">
      <c r="C27" s="26"/>
      <c r="D27" s="26"/>
      <c r="E27" s="26"/>
      <c r="F27" s="26"/>
      <c r="G27" s="26"/>
      <c r="AB27" s="17">
        <v>2.9</v>
      </c>
      <c r="AC27" s="17">
        <v>0.91</v>
      </c>
      <c r="AD27" s="17" t="s">
        <v>231</v>
      </c>
      <c r="AE27" s="17"/>
    </row>
    <row r="28" spans="3:18" ht="14.25">
      <c r="C28" s="26"/>
      <c r="D28" s="26"/>
      <c r="E28" s="26"/>
      <c r="F28" s="26"/>
      <c r="G28" s="26"/>
      <c r="J28">
        <v>0</v>
      </c>
      <c r="K28">
        <v>10</v>
      </c>
      <c r="L28">
        <v>20</v>
      </c>
      <c r="M28">
        <v>30</v>
      </c>
      <c r="N28">
        <v>40</v>
      </c>
      <c r="O28">
        <v>50</v>
      </c>
      <c r="P28">
        <v>60</v>
      </c>
      <c r="Q28">
        <v>70</v>
      </c>
      <c r="R28">
        <v>80</v>
      </c>
    </row>
    <row r="29" spans="3:30" ht="14.25">
      <c r="C29" s="26"/>
      <c r="D29" s="26"/>
      <c r="E29" s="26"/>
      <c r="F29" s="26"/>
      <c r="G29" s="26"/>
      <c r="AC29" s="12" t="s">
        <v>232</v>
      </c>
      <c r="AD29" s="14"/>
    </row>
    <row r="30" spans="3:34" ht="14.25">
      <c r="C30" s="26"/>
      <c r="D30" s="26"/>
      <c r="E30" s="26"/>
      <c r="F30" s="26"/>
      <c r="G30" s="26"/>
      <c r="AB30" s="17" t="s">
        <v>233</v>
      </c>
      <c r="AC30" s="17">
        <v>0.45</v>
      </c>
      <c r="AD30" s="17">
        <v>0.5</v>
      </c>
      <c r="AE30" s="17">
        <v>0.55</v>
      </c>
      <c r="AF30" s="17">
        <v>0.6</v>
      </c>
      <c r="AG30" s="17">
        <v>0.65</v>
      </c>
      <c r="AH30" s="17">
        <v>0.7</v>
      </c>
    </row>
    <row r="31" spans="28:34" ht="13.5" thickBot="1">
      <c r="AB31" s="17" t="s">
        <v>234</v>
      </c>
      <c r="AC31" s="17">
        <v>0.75</v>
      </c>
      <c r="AD31" s="17">
        <v>0.82</v>
      </c>
      <c r="AE31" s="17">
        <v>0.89</v>
      </c>
      <c r="AF31" s="17">
        <v>0.95</v>
      </c>
      <c r="AG31" s="17">
        <v>0.97</v>
      </c>
      <c r="AH31" s="17">
        <v>1</v>
      </c>
    </row>
    <row r="32" spans="11:16" ht="12.75">
      <c r="K32" s="4" t="s">
        <v>83</v>
      </c>
      <c r="L32" s="6" t="s">
        <v>84</v>
      </c>
      <c r="M32" s="6" t="s">
        <v>85</v>
      </c>
      <c r="N32" s="6" t="s">
        <v>86</v>
      </c>
      <c r="O32" s="6" t="s">
        <v>87</v>
      </c>
      <c r="P32" s="7" t="s">
        <v>88</v>
      </c>
    </row>
    <row r="33" spans="11:30" ht="12.75">
      <c r="K33" s="8" t="s">
        <v>235</v>
      </c>
      <c r="L33" s="2">
        <f>Груз!I35</f>
        <v>0</v>
      </c>
      <c r="M33" s="2">
        <v>36.3</v>
      </c>
      <c r="N33" s="2">
        <f aca="true" t="shared" si="1" ref="N33:N48">L33*M33</f>
        <v>0</v>
      </c>
      <c r="O33" s="2">
        <v>3.6</v>
      </c>
      <c r="P33" s="3">
        <f aca="true" t="shared" si="2" ref="P33:P48">L33*O33</f>
        <v>0</v>
      </c>
      <c r="AC33" s="12" t="s">
        <v>236</v>
      </c>
      <c r="AD33" s="14"/>
    </row>
    <row r="34" spans="11:36" ht="12.75">
      <c r="K34" s="8" t="s">
        <v>237</v>
      </c>
      <c r="L34" s="2">
        <f>Груз!H35</f>
        <v>37.7</v>
      </c>
      <c r="M34" s="2">
        <v>33.2</v>
      </c>
      <c r="N34" s="2">
        <f t="shared" si="1"/>
        <v>1251.64</v>
      </c>
      <c r="O34" s="2">
        <v>1.4</v>
      </c>
      <c r="P34" s="3">
        <f t="shared" si="2"/>
        <v>52.78</v>
      </c>
      <c r="AB34" s="17" t="s">
        <v>238</v>
      </c>
      <c r="AC34" s="17">
        <v>0</v>
      </c>
      <c r="AD34" s="17">
        <v>1</v>
      </c>
      <c r="AE34" s="17">
        <v>1.5</v>
      </c>
      <c r="AF34" s="17">
        <v>2</v>
      </c>
      <c r="AG34" s="17">
        <v>2.5</v>
      </c>
      <c r="AH34" s="17">
        <v>3</v>
      </c>
      <c r="AI34" s="17">
        <v>3.5</v>
      </c>
      <c r="AJ34" s="17">
        <v>4</v>
      </c>
    </row>
    <row r="35" spans="11:36" ht="12.75">
      <c r="K35" s="8" t="s">
        <v>239</v>
      </c>
      <c r="L35" s="2">
        <f>Груз!H37</f>
        <v>36.7</v>
      </c>
      <c r="M35" s="2">
        <v>33.2</v>
      </c>
      <c r="N35" s="2">
        <f t="shared" si="1"/>
        <v>1218.4400000000003</v>
      </c>
      <c r="O35" s="2">
        <v>1.4</v>
      </c>
      <c r="P35" s="3">
        <f t="shared" si="2"/>
        <v>51.38</v>
      </c>
      <c r="AB35" s="17" t="s">
        <v>240</v>
      </c>
      <c r="AC35" s="17">
        <v>1</v>
      </c>
      <c r="AD35" s="17">
        <v>0.98</v>
      </c>
      <c r="AE35" s="17">
        <v>0.95</v>
      </c>
      <c r="AF35" s="17">
        <v>0.88</v>
      </c>
      <c r="AG35" s="17">
        <v>0.79</v>
      </c>
      <c r="AH35" s="17">
        <v>0.74</v>
      </c>
      <c r="AI35" s="17">
        <v>0.72</v>
      </c>
      <c r="AJ35" s="17">
        <v>0.7</v>
      </c>
    </row>
    <row r="36" spans="11:16" ht="12.75">
      <c r="K36" s="8" t="s">
        <v>241</v>
      </c>
      <c r="L36" s="2">
        <f>Груз!G35</f>
        <v>0</v>
      </c>
      <c r="M36" s="2">
        <v>23.4</v>
      </c>
      <c r="N36" s="2">
        <f t="shared" si="1"/>
        <v>0</v>
      </c>
      <c r="O36" s="2">
        <v>1.1</v>
      </c>
      <c r="P36" s="3">
        <f t="shared" si="2"/>
        <v>0</v>
      </c>
    </row>
    <row r="37" spans="11:30" ht="12.75">
      <c r="K37" s="8" t="s">
        <v>242</v>
      </c>
      <c r="L37" s="2">
        <f>Груз!G37</f>
        <v>0</v>
      </c>
      <c r="M37" s="2">
        <v>23.4</v>
      </c>
      <c r="N37" s="2">
        <f t="shared" si="1"/>
        <v>0</v>
      </c>
      <c r="O37" s="2">
        <v>1.1</v>
      </c>
      <c r="P37" s="3">
        <f t="shared" si="2"/>
        <v>0</v>
      </c>
      <c r="AC37" s="12" t="s">
        <v>243</v>
      </c>
      <c r="AD37" s="14"/>
    </row>
    <row r="38" spans="11:31" ht="12.75">
      <c r="K38" s="8" t="s">
        <v>244</v>
      </c>
      <c r="L38" s="2">
        <f>Груз!F35</f>
        <v>117.7</v>
      </c>
      <c r="M38" s="2">
        <v>10.1</v>
      </c>
      <c r="N38" s="2">
        <f t="shared" si="1"/>
        <v>1188.77</v>
      </c>
      <c r="O38" s="2">
        <v>1.1</v>
      </c>
      <c r="P38" s="3">
        <f t="shared" si="2"/>
        <v>129.47000000000003</v>
      </c>
      <c r="AB38" s="17"/>
      <c r="AC38" s="17" t="s">
        <v>245</v>
      </c>
      <c r="AD38" s="17"/>
      <c r="AE38" s="17" t="s">
        <v>245</v>
      </c>
    </row>
    <row r="39" spans="11:31" ht="12.75">
      <c r="K39" s="8" t="s">
        <v>246</v>
      </c>
      <c r="L39" s="2">
        <f>Груз!F37</f>
        <v>117.7</v>
      </c>
      <c r="M39" s="2">
        <v>10.1</v>
      </c>
      <c r="N39" s="2">
        <f t="shared" si="1"/>
        <v>1188.77</v>
      </c>
      <c r="O39" s="2">
        <v>1.1</v>
      </c>
      <c r="P39" s="3">
        <f t="shared" si="2"/>
        <v>129.47000000000003</v>
      </c>
      <c r="AB39" s="17">
        <v>0.1</v>
      </c>
      <c r="AC39" s="17">
        <v>0.34</v>
      </c>
      <c r="AD39" s="17">
        <v>1</v>
      </c>
      <c r="AE39" s="17">
        <v>1.96</v>
      </c>
    </row>
    <row r="40" spans="11:31" ht="12.75">
      <c r="K40" s="8" t="s">
        <v>247</v>
      </c>
      <c r="L40" s="2">
        <f>Груз!E35</f>
        <v>141.2</v>
      </c>
      <c r="M40" s="2">
        <v>-3.4</v>
      </c>
      <c r="N40" s="2">
        <f t="shared" si="1"/>
        <v>-480.0799999999999</v>
      </c>
      <c r="O40" s="2">
        <v>1.1</v>
      </c>
      <c r="P40" s="3">
        <f t="shared" si="2"/>
        <v>155.32</v>
      </c>
      <c r="AB40" s="17" t="s">
        <v>226</v>
      </c>
      <c r="AC40" s="17"/>
      <c r="AD40" s="17">
        <v>1.5</v>
      </c>
      <c r="AE40" s="17">
        <v>2.45</v>
      </c>
    </row>
    <row r="41" spans="1:31" ht="12.75">
      <c r="A41" s="22" t="s">
        <v>248</v>
      </c>
      <c r="E41" s="22" t="s">
        <v>367</v>
      </c>
      <c r="K41" s="8" t="s">
        <v>249</v>
      </c>
      <c r="L41" s="2">
        <f>Груз!E37</f>
        <v>141.2</v>
      </c>
      <c r="M41" s="2">
        <v>-3.4</v>
      </c>
      <c r="N41" s="2">
        <f t="shared" si="1"/>
        <v>-480.0799999999999</v>
      </c>
      <c r="O41" s="2">
        <v>1.1</v>
      </c>
      <c r="P41" s="3">
        <f t="shared" si="2"/>
        <v>155.32</v>
      </c>
      <c r="AB41" s="17">
        <v>0.15</v>
      </c>
      <c r="AC41" s="17">
        <v>0.42</v>
      </c>
      <c r="AD41" s="17">
        <v>2</v>
      </c>
      <c r="AE41" s="17">
        <v>2.69</v>
      </c>
    </row>
    <row r="42" spans="11:31" ht="12.75">
      <c r="K42" s="8" t="s">
        <v>250</v>
      </c>
      <c r="L42" s="2">
        <f>Груз!D35</f>
        <v>0</v>
      </c>
      <c r="M42" s="2">
        <v>-16.9</v>
      </c>
      <c r="N42" s="2">
        <f t="shared" si="1"/>
        <v>0</v>
      </c>
      <c r="O42" s="2">
        <v>0.4</v>
      </c>
      <c r="P42" s="3">
        <f t="shared" si="2"/>
        <v>0</v>
      </c>
      <c r="AB42" s="17">
        <v>0.25</v>
      </c>
      <c r="AC42" s="17">
        <v>0.64</v>
      </c>
      <c r="AD42" s="17">
        <v>2.5</v>
      </c>
      <c r="AE42" s="17">
        <v>2.86</v>
      </c>
    </row>
    <row r="43" spans="2:31" ht="12.75">
      <c r="B43" s="42" t="s">
        <v>251</v>
      </c>
      <c r="D43" t="s">
        <v>252</v>
      </c>
      <c r="E43" s="22" t="s">
        <v>368</v>
      </c>
      <c r="K43" s="8" t="s">
        <v>254</v>
      </c>
      <c r="L43" s="2">
        <f>Груз!D37</f>
        <v>0</v>
      </c>
      <c r="M43" s="2">
        <v>-16.9</v>
      </c>
      <c r="N43" s="2">
        <f t="shared" si="1"/>
        <v>0</v>
      </c>
      <c r="O43" s="2">
        <v>0.4</v>
      </c>
      <c r="P43" s="3">
        <f t="shared" si="2"/>
        <v>0</v>
      </c>
      <c r="AB43" s="17">
        <v>0.5</v>
      </c>
      <c r="AC43" s="17">
        <v>1.13</v>
      </c>
      <c r="AD43" s="17">
        <v>3</v>
      </c>
      <c r="AE43" s="17">
        <v>2.94</v>
      </c>
    </row>
    <row r="44" spans="11:31" ht="12.75">
      <c r="K44" s="8" t="s">
        <v>255</v>
      </c>
      <c r="L44" s="2">
        <f>Груз!B35</f>
        <v>0</v>
      </c>
      <c r="M44" s="2">
        <v>-36.6</v>
      </c>
      <c r="N44" s="2">
        <f t="shared" si="1"/>
        <v>0</v>
      </c>
      <c r="O44" s="2">
        <v>1.9</v>
      </c>
      <c r="P44" s="3">
        <f t="shared" si="2"/>
        <v>0</v>
      </c>
      <c r="AB44" s="17">
        <v>0.75</v>
      </c>
      <c r="AC44" s="17">
        <v>1.58</v>
      </c>
      <c r="AD44" s="17"/>
      <c r="AE44" s="17"/>
    </row>
    <row r="45" spans="11:16" ht="12.75">
      <c r="K45" s="8" t="s">
        <v>256</v>
      </c>
      <c r="L45" s="2">
        <f>Груз!I37</f>
        <v>0</v>
      </c>
      <c r="M45" s="2">
        <v>40.76</v>
      </c>
      <c r="N45" s="2">
        <f t="shared" si="1"/>
        <v>0</v>
      </c>
      <c r="O45" s="2">
        <v>3.84</v>
      </c>
      <c r="P45" s="3">
        <f t="shared" si="2"/>
        <v>0</v>
      </c>
    </row>
    <row r="46" spans="1:31" ht="12.75">
      <c r="A46" s="100">
        <f>Груз!B3</f>
        <v>37393</v>
      </c>
      <c r="K46" s="8" t="s">
        <v>257</v>
      </c>
      <c r="L46" s="2">
        <f>Груз!H41</f>
        <v>9</v>
      </c>
      <c r="M46" s="2">
        <v>33.3</v>
      </c>
      <c r="N46" s="2">
        <f t="shared" si="1"/>
        <v>299.7</v>
      </c>
      <c r="O46" s="2">
        <v>3.1</v>
      </c>
      <c r="P46" s="3">
        <f t="shared" si="2"/>
        <v>27.900000000000002</v>
      </c>
      <c r="AB46" s="17" t="s">
        <v>258</v>
      </c>
      <c r="AC46" s="17">
        <v>1</v>
      </c>
      <c r="AD46" s="17" t="s">
        <v>259</v>
      </c>
      <c r="AE46" s="17">
        <v>0.75</v>
      </c>
    </row>
    <row r="47" spans="11:31" ht="12.75">
      <c r="K47" s="8" t="s">
        <v>260</v>
      </c>
      <c r="L47" s="2">
        <f>Груз!H39</f>
        <v>9</v>
      </c>
      <c r="M47" s="2">
        <v>33.3</v>
      </c>
      <c r="N47" s="2">
        <f t="shared" si="1"/>
        <v>299.7</v>
      </c>
      <c r="O47" s="2">
        <v>3.1</v>
      </c>
      <c r="P47" s="3">
        <f t="shared" si="2"/>
        <v>27.900000000000002</v>
      </c>
      <c r="AB47" s="18" t="s">
        <v>261</v>
      </c>
      <c r="AC47" s="18">
        <v>6</v>
      </c>
      <c r="AD47" s="11">
        <v>5</v>
      </c>
      <c r="AE47" s="11">
        <v>4</v>
      </c>
    </row>
    <row r="48" spans="11:31" ht="12.75">
      <c r="K48" s="8" t="s">
        <v>262</v>
      </c>
      <c r="L48" s="2">
        <f>Груз!D41</f>
        <v>11</v>
      </c>
      <c r="M48" s="2">
        <v>-20.1</v>
      </c>
      <c r="N48" s="2">
        <f t="shared" si="1"/>
        <v>-221.10000000000002</v>
      </c>
      <c r="O48" s="2">
        <v>1.8</v>
      </c>
      <c r="P48" s="3">
        <f t="shared" si="2"/>
        <v>19.8</v>
      </c>
      <c r="AB48" s="19" t="s">
        <v>263</v>
      </c>
      <c r="AC48" s="19"/>
      <c r="AD48" s="16"/>
      <c r="AE48" s="16"/>
    </row>
    <row r="49" spans="11:16" ht="12.75">
      <c r="K49" s="8" t="s">
        <v>264</v>
      </c>
      <c r="L49" s="2">
        <f>Груз!D39</f>
        <v>0</v>
      </c>
      <c r="M49" s="2">
        <v>-20.1</v>
      </c>
      <c r="N49" s="2">
        <f aca="true" t="shared" si="3" ref="N49:N57">L49*M49</f>
        <v>0</v>
      </c>
      <c r="O49" s="2">
        <v>1.8</v>
      </c>
      <c r="P49" s="3">
        <f aca="true" t="shared" si="4" ref="P49:P57">L49*O49</f>
        <v>0</v>
      </c>
    </row>
    <row r="50" spans="7:48" ht="12.75">
      <c r="G50" s="5"/>
      <c r="H50" s="5"/>
      <c r="I50" s="5"/>
      <c r="J50" s="5"/>
      <c r="K50" s="79" t="s">
        <v>265</v>
      </c>
      <c r="L50" s="5">
        <f>Груз!C35</f>
        <v>7</v>
      </c>
      <c r="M50" s="5">
        <v>-26.53</v>
      </c>
      <c r="N50" s="5">
        <f t="shared" si="3"/>
        <v>-185.71</v>
      </c>
      <c r="O50" s="5">
        <v>2.74</v>
      </c>
      <c r="P50" s="5">
        <f t="shared" si="4"/>
        <v>19.18</v>
      </c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80" t="s">
        <v>208</v>
      </c>
      <c r="AD50" s="80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</row>
    <row r="51" spans="7:48" ht="12.75">
      <c r="G51" s="5"/>
      <c r="H51" s="5"/>
      <c r="I51" s="5"/>
      <c r="J51" s="5"/>
      <c r="K51" s="79" t="s">
        <v>266</v>
      </c>
      <c r="L51" s="5">
        <f>Груз!C37</f>
        <v>3.5</v>
      </c>
      <c r="M51" s="5">
        <v>-26.41</v>
      </c>
      <c r="N51" s="5">
        <f t="shared" si="3"/>
        <v>-92.435</v>
      </c>
      <c r="O51" s="5">
        <v>4.44</v>
      </c>
      <c r="P51" s="5">
        <f t="shared" si="4"/>
        <v>15.540000000000001</v>
      </c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80"/>
      <c r="AC51" s="80">
        <v>0.13</v>
      </c>
      <c r="AD51" s="80">
        <v>0.14</v>
      </c>
      <c r="AE51" s="80">
        <v>0.15</v>
      </c>
      <c r="AF51" s="80">
        <v>0.16</v>
      </c>
      <c r="AG51" s="80">
        <v>0.17</v>
      </c>
      <c r="AH51" s="80">
        <v>0.18</v>
      </c>
      <c r="AI51" s="80">
        <v>0.19</v>
      </c>
      <c r="AJ51" s="80">
        <v>0.2</v>
      </c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</row>
    <row r="52" spans="7:48" ht="12.75">
      <c r="G52" s="5"/>
      <c r="H52" s="5"/>
      <c r="I52" s="5"/>
      <c r="J52" s="5"/>
      <c r="K52" s="79" t="s">
        <v>267</v>
      </c>
      <c r="L52" s="5">
        <f>Груз!C39</f>
        <v>4</v>
      </c>
      <c r="M52" s="5">
        <v>-32.09</v>
      </c>
      <c r="N52" s="5">
        <f t="shared" si="3"/>
        <v>-128.36</v>
      </c>
      <c r="O52" s="5">
        <v>0.61</v>
      </c>
      <c r="P52" s="5">
        <f t="shared" si="4"/>
        <v>2.44</v>
      </c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80" t="s">
        <v>268</v>
      </c>
      <c r="AC52" s="80">
        <v>32</v>
      </c>
      <c r="AD52" s="80">
        <v>32.5</v>
      </c>
      <c r="AE52" s="80">
        <v>33</v>
      </c>
      <c r="AF52" s="80">
        <v>33.5</v>
      </c>
      <c r="AG52" s="80">
        <v>34</v>
      </c>
      <c r="AH52" s="80">
        <v>34.2</v>
      </c>
      <c r="AI52" s="80">
        <v>34.5</v>
      </c>
      <c r="AJ52" s="80">
        <v>34.8</v>
      </c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</row>
    <row r="53" spans="7:48" ht="12.75">
      <c r="G53" s="5"/>
      <c r="H53" s="5"/>
      <c r="I53" s="5"/>
      <c r="J53" s="5"/>
      <c r="K53" s="79" t="s">
        <v>269</v>
      </c>
      <c r="L53" s="5">
        <f>Груз!C41</f>
        <v>0.9</v>
      </c>
      <c r="M53" s="5">
        <v>-26.62</v>
      </c>
      <c r="N53" s="5">
        <f t="shared" si="3"/>
        <v>-23.958000000000002</v>
      </c>
      <c r="O53" s="5">
        <v>1.67</v>
      </c>
      <c r="P53" s="5">
        <f t="shared" si="4"/>
        <v>1.503</v>
      </c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</row>
    <row r="54" spans="7:48" ht="12.75">
      <c r="G54" s="5"/>
      <c r="H54" s="5"/>
      <c r="I54" s="5"/>
      <c r="J54" s="5"/>
      <c r="K54" s="79" t="s">
        <v>270</v>
      </c>
      <c r="L54" s="5">
        <f>Груз!C43</f>
        <v>1.7</v>
      </c>
      <c r="M54" s="5">
        <v>-31.7</v>
      </c>
      <c r="N54" s="5">
        <f t="shared" si="3"/>
        <v>-53.89</v>
      </c>
      <c r="O54" s="5">
        <v>0.54</v>
      </c>
      <c r="P54" s="5">
        <f t="shared" si="4"/>
        <v>0.918</v>
      </c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80" t="s">
        <v>217</v>
      </c>
      <c r="AD54" s="80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</row>
    <row r="55" spans="7:48" ht="12.75">
      <c r="G55" s="5"/>
      <c r="H55" s="5"/>
      <c r="I55" s="5"/>
      <c r="J55" s="5"/>
      <c r="K55" s="79" t="s">
        <v>178</v>
      </c>
      <c r="L55" s="5">
        <f>Груз!D43</f>
        <v>0</v>
      </c>
      <c r="M55" s="5">
        <v>-13.69</v>
      </c>
      <c r="N55" s="5">
        <f t="shared" si="3"/>
        <v>0</v>
      </c>
      <c r="O55" s="5">
        <v>1.5</v>
      </c>
      <c r="P55" s="5">
        <f t="shared" si="4"/>
        <v>0</v>
      </c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80" t="s">
        <v>271</v>
      </c>
      <c r="AC55" s="80">
        <v>3.5</v>
      </c>
      <c r="AD55" s="80">
        <v>3.6</v>
      </c>
      <c r="AE55" s="80">
        <v>3.7</v>
      </c>
      <c r="AF55" s="80">
        <v>3.8</v>
      </c>
      <c r="AG55" s="80">
        <v>3.9</v>
      </c>
      <c r="AH55" s="80">
        <v>4</v>
      </c>
      <c r="AI55" s="80">
        <v>4.5</v>
      </c>
      <c r="AJ55" s="80">
        <v>5</v>
      </c>
      <c r="AK55" s="80">
        <v>5.5</v>
      </c>
      <c r="AL55" s="80">
        <v>6</v>
      </c>
      <c r="AM55" s="5"/>
      <c r="AN55" s="5"/>
      <c r="AO55" s="5"/>
      <c r="AP55" s="5"/>
      <c r="AQ55" s="5"/>
      <c r="AR55" s="5"/>
      <c r="AS55" s="5"/>
      <c r="AT55" s="5"/>
      <c r="AU55" s="5"/>
      <c r="AV55" s="5"/>
    </row>
    <row r="56" spans="7:48" ht="12.75">
      <c r="G56" s="5"/>
      <c r="H56" s="5"/>
      <c r="I56" s="5"/>
      <c r="J56" s="5"/>
      <c r="K56" s="79" t="s">
        <v>106</v>
      </c>
      <c r="L56" s="5">
        <f>Груз!B37</f>
        <v>0</v>
      </c>
      <c r="M56" s="5">
        <v>-36.53</v>
      </c>
      <c r="N56" s="5">
        <f t="shared" si="3"/>
        <v>0</v>
      </c>
      <c r="O56" s="5">
        <v>2.6</v>
      </c>
      <c r="P56" s="5">
        <f t="shared" si="4"/>
        <v>0</v>
      </c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0" t="s">
        <v>272</v>
      </c>
      <c r="AC56" s="80">
        <v>0.8</v>
      </c>
      <c r="AD56" s="80">
        <v>0.8</v>
      </c>
      <c r="AE56" s="80">
        <v>0.8</v>
      </c>
      <c r="AF56" s="80">
        <v>0.8</v>
      </c>
      <c r="AG56" s="80">
        <v>0.8</v>
      </c>
      <c r="AH56" s="80">
        <v>0.8</v>
      </c>
      <c r="AI56" s="80">
        <v>0.86</v>
      </c>
      <c r="AJ56" s="80">
        <v>0.92</v>
      </c>
      <c r="AK56" s="80">
        <v>0.97</v>
      </c>
      <c r="AL56" s="80">
        <v>1</v>
      </c>
      <c r="AM56" s="5"/>
      <c r="AN56" s="5"/>
      <c r="AO56" s="5"/>
      <c r="AP56" s="5"/>
      <c r="AQ56" s="5"/>
      <c r="AR56" s="5"/>
      <c r="AS56" s="5"/>
      <c r="AT56" s="5"/>
      <c r="AU56" s="5"/>
      <c r="AV56" s="5"/>
    </row>
    <row r="57" spans="7:48" ht="12.75">
      <c r="G57" s="5"/>
      <c r="H57" s="5"/>
      <c r="I57" s="5"/>
      <c r="J57" s="5"/>
      <c r="K57" s="79" t="s">
        <v>93</v>
      </c>
      <c r="L57" s="5">
        <f>Груз!A35</f>
        <v>66</v>
      </c>
      <c r="M57" s="5">
        <v>-41.3</v>
      </c>
      <c r="N57" s="5">
        <f t="shared" si="3"/>
        <v>-2725.7999999999997</v>
      </c>
      <c r="O57" s="5">
        <v>4.6</v>
      </c>
      <c r="P57" s="5">
        <f t="shared" si="4"/>
        <v>303.59999999999997</v>
      </c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</row>
    <row r="58" spans="7:48" ht="12.75">
      <c r="G58" s="5"/>
      <c r="H58" s="5"/>
      <c r="I58" s="5"/>
      <c r="J58" s="5"/>
      <c r="K58" s="81" t="s">
        <v>181</v>
      </c>
      <c r="L58" s="80">
        <f>SUM(L33:L57)</f>
        <v>704.3000000000001</v>
      </c>
      <c r="M58" s="82"/>
      <c r="N58" s="80">
        <f>SUM(N33:N57)</f>
        <v>1055.6070000000004</v>
      </c>
      <c r="O58" s="82"/>
      <c r="P58" s="80">
        <f>SUM(P33:P57)</f>
        <v>1092.521</v>
      </c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>
        <v>10</v>
      </c>
      <c r="AD58" s="5">
        <v>20</v>
      </c>
      <c r="AE58" s="5">
        <f aca="true" t="shared" si="5" ref="AE58:AJ58">AD58+10</f>
        <v>30</v>
      </c>
      <c r="AF58" s="5">
        <f t="shared" si="5"/>
        <v>40</v>
      </c>
      <c r="AG58" s="5">
        <f t="shared" si="5"/>
        <v>50</v>
      </c>
      <c r="AH58" s="5">
        <f t="shared" si="5"/>
        <v>60</v>
      </c>
      <c r="AI58" s="5">
        <f t="shared" si="5"/>
        <v>70</v>
      </c>
      <c r="AJ58" s="5">
        <f t="shared" si="5"/>
        <v>80</v>
      </c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</row>
    <row r="59" spans="7:48" ht="12.75"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83">
        <v>2500</v>
      </c>
      <c r="AC59" s="32">
        <v>1.2</v>
      </c>
      <c r="AD59" s="32">
        <v>2.51</v>
      </c>
      <c r="AE59" s="32">
        <v>3.57</v>
      </c>
      <c r="AF59" s="32">
        <v>4.12</v>
      </c>
      <c r="AG59" s="32">
        <v>4.5</v>
      </c>
      <c r="AH59" s="32">
        <v>4.6</v>
      </c>
      <c r="AI59" s="32">
        <v>4.45</v>
      </c>
      <c r="AJ59" s="5">
        <v>4.12</v>
      </c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</row>
    <row r="60" spans="7:48" ht="12.75"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>
        <f aca="true" t="shared" si="6" ref="AB60:AB77">AB59+100</f>
        <v>2600</v>
      </c>
      <c r="AC60" s="32">
        <v>1.184</v>
      </c>
      <c r="AD60" s="32">
        <v>2.4659999999999997</v>
      </c>
      <c r="AE60" s="32">
        <v>3.516</v>
      </c>
      <c r="AF60" s="32">
        <v>4.0920000000000005</v>
      </c>
      <c r="AG60" s="32">
        <v>4.476</v>
      </c>
      <c r="AH60" s="32">
        <v>4.58</v>
      </c>
      <c r="AI60" s="32">
        <v>4.436</v>
      </c>
      <c r="AJ60" s="5">
        <v>4.112</v>
      </c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7:48" ht="12.75"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>
        <f t="shared" si="6"/>
        <v>2700</v>
      </c>
      <c r="AC61" s="32">
        <v>1.168</v>
      </c>
      <c r="AD61" s="32">
        <v>2.422</v>
      </c>
      <c r="AE61" s="32">
        <v>3.4619999999999997</v>
      </c>
      <c r="AF61" s="32">
        <v>4.064</v>
      </c>
      <c r="AG61" s="32">
        <v>4.452</v>
      </c>
      <c r="AH61" s="32">
        <v>4.56</v>
      </c>
      <c r="AI61" s="32">
        <v>4.422</v>
      </c>
      <c r="AJ61" s="5">
        <v>4.104</v>
      </c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</row>
    <row r="62" spans="7:48" ht="12.75"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>
        <f t="shared" si="6"/>
        <v>2800</v>
      </c>
      <c r="AC62" s="32">
        <v>1.152</v>
      </c>
      <c r="AD62" s="32">
        <v>2.378</v>
      </c>
      <c r="AE62" s="32">
        <v>3.408</v>
      </c>
      <c r="AF62" s="32">
        <v>4.0360000000000005</v>
      </c>
      <c r="AG62" s="32">
        <v>4.428</v>
      </c>
      <c r="AH62" s="32">
        <v>4.54</v>
      </c>
      <c r="AI62" s="32">
        <v>4.4079999999999995</v>
      </c>
      <c r="AJ62" s="5">
        <v>4.096</v>
      </c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</row>
    <row r="63" spans="7:48" ht="12.75"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>
        <f t="shared" si="6"/>
        <v>2900</v>
      </c>
      <c r="AC63" s="32">
        <v>1.136</v>
      </c>
      <c r="AD63" s="32">
        <v>2.334</v>
      </c>
      <c r="AE63" s="32">
        <v>3.3539999999999996</v>
      </c>
      <c r="AF63" s="32">
        <v>4.008</v>
      </c>
      <c r="AG63" s="32">
        <v>4.404</v>
      </c>
      <c r="AH63" s="32">
        <v>4.52</v>
      </c>
      <c r="AI63" s="32">
        <v>4.394</v>
      </c>
      <c r="AJ63" s="5">
        <v>4.088</v>
      </c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</row>
    <row r="64" spans="7:48" ht="12.75"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83">
        <f t="shared" si="6"/>
        <v>3000</v>
      </c>
      <c r="AC64" s="32">
        <v>1.12</v>
      </c>
      <c r="AD64" s="32">
        <v>2.29</v>
      </c>
      <c r="AE64" s="32">
        <v>3.3</v>
      </c>
      <c r="AF64" s="32">
        <v>3.98</v>
      </c>
      <c r="AG64" s="32">
        <v>4.38</v>
      </c>
      <c r="AH64" s="32">
        <v>4.5</v>
      </c>
      <c r="AI64" s="32">
        <v>4.38</v>
      </c>
      <c r="AJ64" s="5">
        <v>4.08</v>
      </c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</row>
    <row r="65" spans="7:48" ht="12.75"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>
        <f t="shared" si="6"/>
        <v>3100</v>
      </c>
      <c r="AC65" s="32">
        <v>1.112</v>
      </c>
      <c r="AD65" s="32">
        <v>2.2560000000000002</v>
      </c>
      <c r="AE65" s="32">
        <v>3.258</v>
      </c>
      <c r="AF65" s="32">
        <v>3.954</v>
      </c>
      <c r="AG65" s="32">
        <v>4.346</v>
      </c>
      <c r="AH65" s="32">
        <v>4.47</v>
      </c>
      <c r="AI65" s="32">
        <v>4.36</v>
      </c>
      <c r="AJ65" s="5">
        <v>4.068</v>
      </c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</row>
    <row r="66" spans="7:48" ht="12.75"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>
        <f t="shared" si="6"/>
        <v>3200</v>
      </c>
      <c r="AC66" s="32">
        <v>1.104</v>
      </c>
      <c r="AD66" s="32">
        <v>2.222</v>
      </c>
      <c r="AE66" s="32">
        <v>3.2159999999999997</v>
      </c>
      <c r="AF66" s="32">
        <v>3.928</v>
      </c>
      <c r="AG66" s="32">
        <v>4.312</v>
      </c>
      <c r="AH66" s="32">
        <v>4.44</v>
      </c>
      <c r="AI66" s="32">
        <v>4.34</v>
      </c>
      <c r="AJ66" s="5">
        <v>4.056</v>
      </c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</row>
    <row r="67" spans="7:48" ht="12.75"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>
        <f t="shared" si="6"/>
        <v>3300</v>
      </c>
      <c r="AC67" s="32">
        <v>1.096</v>
      </c>
      <c r="AD67" s="32">
        <v>2.188</v>
      </c>
      <c r="AE67" s="32">
        <v>3.174</v>
      </c>
      <c r="AF67" s="32">
        <v>3.902</v>
      </c>
      <c r="AG67" s="32">
        <v>4.278</v>
      </c>
      <c r="AH67" s="32">
        <v>4.41</v>
      </c>
      <c r="AI67" s="32">
        <v>4.32</v>
      </c>
      <c r="AJ67" s="5">
        <v>4.044</v>
      </c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</row>
    <row r="68" spans="7:48" ht="12.75"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>
        <f t="shared" si="6"/>
        <v>3400</v>
      </c>
      <c r="AC68" s="32">
        <v>1.088</v>
      </c>
      <c r="AD68" s="32">
        <v>2.154</v>
      </c>
      <c r="AE68" s="32">
        <v>3.1319999999999997</v>
      </c>
      <c r="AF68" s="32">
        <v>3.876</v>
      </c>
      <c r="AG68" s="32">
        <v>4.244</v>
      </c>
      <c r="AH68" s="32">
        <v>4.38</v>
      </c>
      <c r="AI68" s="32">
        <v>4.3</v>
      </c>
      <c r="AJ68" s="5">
        <v>4.032</v>
      </c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</row>
    <row r="69" spans="7:48" ht="12.75"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83">
        <f t="shared" si="6"/>
        <v>3500</v>
      </c>
      <c r="AC69" s="32">
        <v>1.08</v>
      </c>
      <c r="AD69" s="32">
        <v>2.12</v>
      </c>
      <c r="AE69" s="32">
        <v>3.09</v>
      </c>
      <c r="AF69" s="32">
        <v>3.85</v>
      </c>
      <c r="AG69" s="32">
        <v>4.21</v>
      </c>
      <c r="AH69" s="32">
        <v>4.35</v>
      </c>
      <c r="AI69" s="32">
        <v>4.28</v>
      </c>
      <c r="AJ69" s="5">
        <v>4.02</v>
      </c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</row>
    <row r="70" spans="7:48" ht="12.75"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>
        <f t="shared" si="6"/>
        <v>3600</v>
      </c>
      <c r="AC70" s="32">
        <v>1.07</v>
      </c>
      <c r="AD70" s="32">
        <v>2.096</v>
      </c>
      <c r="AE70" s="32">
        <v>3.056</v>
      </c>
      <c r="AF70" s="32">
        <v>3.806</v>
      </c>
      <c r="AG70" s="32">
        <v>4.176</v>
      </c>
      <c r="AH70" s="32">
        <v>4.32</v>
      </c>
      <c r="AI70" s="32">
        <v>4.264</v>
      </c>
      <c r="AJ70" s="5">
        <v>4.016</v>
      </c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</row>
    <row r="71" spans="7:48" ht="12.75"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>
        <f t="shared" si="6"/>
        <v>3700</v>
      </c>
      <c r="AC71" s="32">
        <v>1.06</v>
      </c>
      <c r="AD71" s="32">
        <v>2.072</v>
      </c>
      <c r="AE71" s="32">
        <v>3.022</v>
      </c>
      <c r="AF71" s="32">
        <v>3.762</v>
      </c>
      <c r="AG71" s="32">
        <v>4.142</v>
      </c>
      <c r="AH71" s="32">
        <v>4.29</v>
      </c>
      <c r="AI71" s="32">
        <v>4.248</v>
      </c>
      <c r="AJ71" s="5">
        <v>4.012</v>
      </c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</row>
    <row r="72" spans="7:48" ht="12.75"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>
        <f t="shared" si="6"/>
        <v>3800</v>
      </c>
      <c r="AC72" s="32">
        <v>1.05</v>
      </c>
      <c r="AD72" s="32">
        <v>2.048</v>
      </c>
      <c r="AE72" s="32">
        <v>2.988</v>
      </c>
      <c r="AF72" s="32">
        <v>3.718</v>
      </c>
      <c r="AG72" s="32">
        <v>4.108</v>
      </c>
      <c r="AH72" s="32">
        <v>4.26</v>
      </c>
      <c r="AI72" s="32">
        <v>4.232</v>
      </c>
      <c r="AJ72" s="5">
        <v>4.008</v>
      </c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</row>
    <row r="73" spans="7:48" ht="12.75"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>
        <f t="shared" si="6"/>
        <v>3900</v>
      </c>
      <c r="AC73" s="32">
        <v>1.04</v>
      </c>
      <c r="AD73" s="32">
        <v>2.024</v>
      </c>
      <c r="AE73" s="32">
        <v>2.9539999999999997</v>
      </c>
      <c r="AF73" s="32">
        <v>3.674</v>
      </c>
      <c r="AG73" s="32">
        <v>4.074</v>
      </c>
      <c r="AH73" s="32">
        <v>4.23</v>
      </c>
      <c r="AI73" s="32">
        <v>4.216</v>
      </c>
      <c r="AJ73" s="5">
        <v>4.004</v>
      </c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</row>
    <row r="74" spans="7:48" ht="12.75"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83">
        <f t="shared" si="6"/>
        <v>4000</v>
      </c>
      <c r="AC74" s="32">
        <v>1.03</v>
      </c>
      <c r="AD74" s="32">
        <v>2</v>
      </c>
      <c r="AE74" s="32">
        <v>2.92</v>
      </c>
      <c r="AF74" s="32">
        <v>3.63</v>
      </c>
      <c r="AG74" s="32">
        <v>4.04</v>
      </c>
      <c r="AH74" s="32">
        <v>4.2</v>
      </c>
      <c r="AI74" s="32">
        <v>4.2</v>
      </c>
      <c r="AJ74" s="5">
        <v>4</v>
      </c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</row>
    <row r="75" spans="7:48" ht="12.75"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>
        <f t="shared" si="6"/>
        <v>4100</v>
      </c>
      <c r="AC75" s="32">
        <v>1.02</v>
      </c>
      <c r="AD75" s="32">
        <v>1.976</v>
      </c>
      <c r="AE75" s="32">
        <v>2.8859999999999997</v>
      </c>
      <c r="AF75" s="32">
        <v>3.5860000000000003</v>
      </c>
      <c r="AG75" s="32">
        <v>4.006</v>
      </c>
      <c r="AH75" s="32">
        <v>4.17</v>
      </c>
      <c r="AI75" s="32">
        <v>4.184</v>
      </c>
      <c r="AJ75" s="5">
        <v>4</v>
      </c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</row>
    <row r="76" spans="7:48" ht="12.75"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>
        <f t="shared" si="6"/>
        <v>4200</v>
      </c>
      <c r="AC76" s="32">
        <v>1.01</v>
      </c>
      <c r="AD76" s="32">
        <v>1.9520000000000002</v>
      </c>
      <c r="AE76" s="32">
        <v>2.852</v>
      </c>
      <c r="AF76" s="32">
        <v>3.5420000000000003</v>
      </c>
      <c r="AG76" s="32">
        <v>3.972</v>
      </c>
      <c r="AH76" s="32">
        <v>4.14</v>
      </c>
      <c r="AI76" s="32">
        <v>4.168</v>
      </c>
      <c r="AJ76" s="5">
        <v>4</v>
      </c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</row>
    <row r="77" spans="7:48" ht="12.75"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>
        <f t="shared" si="6"/>
        <v>4300</v>
      </c>
      <c r="AC77" s="32">
        <v>1</v>
      </c>
      <c r="AD77" s="32">
        <v>1.9280000000000002</v>
      </c>
      <c r="AE77" s="32">
        <v>2.8179999999999996</v>
      </c>
      <c r="AF77" s="32">
        <v>3.498</v>
      </c>
      <c r="AG77" s="32">
        <v>3.9379999999999997</v>
      </c>
      <c r="AH77" s="32">
        <v>4.11</v>
      </c>
      <c r="AI77" s="32">
        <v>4.152</v>
      </c>
      <c r="AJ77" s="5">
        <v>4</v>
      </c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</row>
    <row r="78" spans="7:48" ht="12.75"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32"/>
      <c r="AD78" s="32"/>
      <c r="AE78" s="32"/>
      <c r="AF78" s="32"/>
      <c r="AG78" s="32"/>
      <c r="AH78" s="32"/>
      <c r="AI78" s="32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</row>
    <row r="79" spans="7:48" ht="12.75"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>
        <f>VLOOKUP($B$19,$AB$59:AB$77,1)</f>
        <v>3400</v>
      </c>
      <c r="AC79" s="5">
        <f>VLOOKUP($B$19,$AB$59:AC$77,2)</f>
        <v>1.088</v>
      </c>
      <c r="AD79" s="5">
        <f>VLOOKUP($B$19,$AB$59:AD$77,3)</f>
        <v>2.154</v>
      </c>
      <c r="AE79" s="5">
        <f>VLOOKUP($B$19,$AB$59:AE$77,4)</f>
        <v>3.1319999999999997</v>
      </c>
      <c r="AF79" s="5">
        <f>VLOOKUP($B$19,$AB$59:AF$77,5)</f>
        <v>3.876</v>
      </c>
      <c r="AG79" s="5">
        <f>VLOOKUP($B$19,$AB$59:AG$77,6)</f>
        <v>4.244</v>
      </c>
      <c r="AH79" s="5">
        <f>VLOOKUP($B$19,$AB$59:AH$77,7)</f>
        <v>4.38</v>
      </c>
      <c r="AI79" s="5">
        <f>VLOOKUP($B$19,$AB$59:AI$77,8)</f>
        <v>4.3</v>
      </c>
      <c r="AJ79" s="5">
        <f>VLOOKUP($B$19,$AB$59:AJ$77,9)</f>
        <v>4.032</v>
      </c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</row>
    <row r="80" spans="7:48" ht="12.75"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 t="s">
        <v>273</v>
      </c>
      <c r="AB80" s="5">
        <f>AB79+100</f>
        <v>3500</v>
      </c>
      <c r="AC80" s="5">
        <f>VLOOKUP($AB$80,$AB$59:AC$77,2)</f>
        <v>1.08</v>
      </c>
      <c r="AD80" s="5">
        <f>VLOOKUP($AB$80,$AB$59:AD$77,3)</f>
        <v>2.12</v>
      </c>
      <c r="AE80" s="5">
        <f>VLOOKUP($AB$80,$AB$59:AE$77,4)</f>
        <v>3.09</v>
      </c>
      <c r="AF80" s="5">
        <f>VLOOKUP($AB$80,$AB$59:AF$77,5)</f>
        <v>3.85</v>
      </c>
      <c r="AG80" s="5">
        <f>VLOOKUP($AB$80,$AB$59:AG$77,6)</f>
        <v>4.21</v>
      </c>
      <c r="AH80" s="5">
        <f>VLOOKUP($AB$80,$AB$59:AH$77,7)</f>
        <v>4.35</v>
      </c>
      <c r="AI80" s="5">
        <f>VLOOKUP($AB$80,$AB$59:AI$77,8)</f>
        <v>4.28</v>
      </c>
      <c r="AJ80" s="5">
        <f>VLOOKUP($AB$80,$AB$59:AJ$77,9)</f>
        <v>4.02</v>
      </c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</row>
    <row r="81" spans="7:48" ht="12.75"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 t="s">
        <v>274</v>
      </c>
      <c r="AB81" s="5"/>
      <c r="AC81" s="86">
        <f>AC79+($B$19-$AB$79)*(AC80-AC79)/100</f>
        <v>1.082168</v>
      </c>
      <c r="AD81" s="86">
        <f aca="true" t="shared" si="7" ref="AD81:AJ81">AD79+($B$19-$AB$79)*(AD80-AD79)/100</f>
        <v>2.1292139999999997</v>
      </c>
      <c r="AE81" s="86">
        <f t="shared" si="7"/>
        <v>3.1013819999999996</v>
      </c>
      <c r="AF81" s="86">
        <f t="shared" si="7"/>
        <v>3.857046</v>
      </c>
      <c r="AG81" s="86">
        <f t="shared" si="7"/>
        <v>4.219214</v>
      </c>
      <c r="AH81" s="86">
        <f t="shared" si="7"/>
        <v>4.358129999999999</v>
      </c>
      <c r="AI81" s="86">
        <f t="shared" si="7"/>
        <v>4.28542</v>
      </c>
      <c r="AJ81" s="86">
        <f t="shared" si="7"/>
        <v>4.023251999999999</v>
      </c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</row>
    <row r="82" spans="7:48" ht="12.75"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 t="s">
        <v>275</v>
      </c>
      <c r="AB82" s="5"/>
      <c r="AC82" s="32"/>
      <c r="AD82" s="32"/>
      <c r="AE82" s="32"/>
      <c r="AF82" s="32"/>
      <c r="AG82" s="32"/>
      <c r="AH82" s="32"/>
      <c r="AI82" s="32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</row>
    <row r="83" spans="7:48" ht="12.75"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 t="s">
        <v>276</v>
      </c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</row>
    <row r="84" spans="7:48" ht="12.75"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>
        <v>0</v>
      </c>
      <c r="AC84" s="5">
        <v>10</v>
      </c>
      <c r="AD84" s="5">
        <v>20</v>
      </c>
      <c r="AE84" s="5">
        <v>30</v>
      </c>
      <c r="AF84" s="5">
        <v>40</v>
      </c>
      <c r="AG84" s="5">
        <v>50</v>
      </c>
      <c r="AH84" s="5">
        <v>60</v>
      </c>
      <c r="AI84" s="5">
        <v>70</v>
      </c>
      <c r="AJ84" s="5">
        <v>80</v>
      </c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</row>
    <row r="85" spans="7:48" ht="12.75"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>
        <v>0</v>
      </c>
      <c r="AC85" s="87">
        <f aca="true" t="shared" si="8" ref="AC85:AJ85">AC81</f>
        <v>1.082168</v>
      </c>
      <c r="AD85" s="87">
        <f t="shared" si="8"/>
        <v>2.1292139999999997</v>
      </c>
      <c r="AE85" s="87">
        <f t="shared" si="8"/>
        <v>3.1013819999999996</v>
      </c>
      <c r="AF85" s="87">
        <f t="shared" si="8"/>
        <v>3.857046</v>
      </c>
      <c r="AG85" s="87">
        <f t="shared" si="8"/>
        <v>4.219214</v>
      </c>
      <c r="AH85" s="87">
        <f t="shared" si="8"/>
        <v>4.358129999999999</v>
      </c>
      <c r="AI85" s="87">
        <f t="shared" si="8"/>
        <v>4.28542</v>
      </c>
      <c r="AJ85" s="87">
        <f t="shared" si="8"/>
        <v>4.023251999999999</v>
      </c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</row>
    <row r="86" spans="7:48" ht="12.75"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>
        <v>0</v>
      </c>
      <c r="AC86" s="5">
        <f>SIN(RADIANS(10))</f>
        <v>0.17364817766693033</v>
      </c>
      <c r="AD86" s="5">
        <f>SIN(RADIANS(20))</f>
        <v>0.3420201433256687</v>
      </c>
      <c r="AE86" s="5">
        <f>SIN(RADIANS(30))</f>
        <v>0.49999999999999994</v>
      </c>
      <c r="AF86" s="5">
        <f>SIN(RADIANS(40))</f>
        <v>0.6427876096865393</v>
      </c>
      <c r="AG86" s="5">
        <f>SIN(RADIANS(50))</f>
        <v>0.766044443118978</v>
      </c>
      <c r="AH86" s="5">
        <f>SIN(RADIANS(60))</f>
        <v>0.8660254037844386</v>
      </c>
      <c r="AI86" s="5">
        <f>SIN(RADIANS(70))</f>
        <v>0.9396926207859083</v>
      </c>
      <c r="AJ86" s="5">
        <f>SIN(RADIANS(80))</f>
        <v>0.984807753012208</v>
      </c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</row>
    <row r="87" spans="7:48" ht="12.75"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>
        <v>0</v>
      </c>
      <c r="AC87" s="5">
        <f>E17*AC86</f>
        <v>0.7312979323532564</v>
      </c>
      <c r="AD87" s="5">
        <f>E17*AD86</f>
        <v>1.4403757470865683</v>
      </c>
      <c r="AE87" s="5">
        <f>E17*AE86</f>
        <v>2.105688473609951</v>
      </c>
      <c r="AF87" s="5">
        <f>E17*AF86</f>
        <v>2.707020921392476</v>
      </c>
      <c r="AG87" s="5">
        <f>E17*AG86</f>
        <v>3.226101908297172</v>
      </c>
      <c r="AH87" s="5">
        <f>E17*AH86</f>
        <v>3.647159421204593</v>
      </c>
      <c r="AI87" s="5">
        <f>E17*AI86</f>
        <v>3.9573998406504285</v>
      </c>
      <c r="AJ87" s="5">
        <f>E17*AJ86</f>
        <v>4.147396668479045</v>
      </c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</row>
    <row r="88" spans="7:48" ht="12.75"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>
        <v>0</v>
      </c>
      <c r="AC88" s="5">
        <f aca="true" t="shared" si="9" ref="AC88:AJ88">AC85-AC87</f>
        <v>0.35087006764674367</v>
      </c>
      <c r="AD88" s="5">
        <f t="shared" si="9"/>
        <v>0.6888382529134314</v>
      </c>
      <c r="AE88" s="5">
        <f t="shared" si="9"/>
        <v>0.9956935263900486</v>
      </c>
      <c r="AF88" s="5">
        <f t="shared" si="9"/>
        <v>1.150025078607524</v>
      </c>
      <c r="AG88" s="5">
        <f t="shared" si="9"/>
        <v>0.993112091702828</v>
      </c>
      <c r="AH88" s="5">
        <f t="shared" si="9"/>
        <v>0.7109705787954064</v>
      </c>
      <c r="AI88" s="5">
        <f t="shared" si="9"/>
        <v>0.32802015934957174</v>
      </c>
      <c r="AJ88" s="5">
        <f t="shared" si="9"/>
        <v>-0.1241446684790457</v>
      </c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</row>
    <row r="89" spans="7:48" ht="12.75"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>
        <v>0</v>
      </c>
      <c r="AC89" s="5">
        <f aca="true" t="shared" si="10" ref="AC89:AJ89">AB89+AB88+AC88</f>
        <v>0.35087006764674367</v>
      </c>
      <c r="AD89" s="5">
        <f t="shared" si="10"/>
        <v>1.3905783882069187</v>
      </c>
      <c r="AE89" s="5">
        <f t="shared" si="10"/>
        <v>3.0751101675103985</v>
      </c>
      <c r="AF89" s="5">
        <f t="shared" si="10"/>
        <v>5.220828772507971</v>
      </c>
      <c r="AG89" s="5">
        <f t="shared" si="10"/>
        <v>7.363965942818323</v>
      </c>
      <c r="AH89" s="5">
        <f t="shared" si="10"/>
        <v>9.068048613316558</v>
      </c>
      <c r="AI89" s="5">
        <f t="shared" si="10"/>
        <v>10.107039351461536</v>
      </c>
      <c r="AJ89" s="5">
        <f t="shared" si="10"/>
        <v>10.310914842332062</v>
      </c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</row>
    <row r="90" spans="7:48" ht="12.75"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>
        <v>0</v>
      </c>
      <c r="AC90" s="5">
        <f aca="true" t="shared" si="11" ref="AC90:AJ90">0.0872*AC89</f>
        <v>0.03059586989879605</v>
      </c>
      <c r="AD90" s="5">
        <f t="shared" si="11"/>
        <v>0.1212584354516433</v>
      </c>
      <c r="AE90" s="5">
        <f t="shared" si="11"/>
        <v>0.26814960660690673</v>
      </c>
      <c r="AF90" s="5">
        <f t="shared" si="11"/>
        <v>0.4552562689626951</v>
      </c>
      <c r="AG90" s="5">
        <f t="shared" si="11"/>
        <v>0.6421378302137578</v>
      </c>
      <c r="AH90" s="5">
        <f t="shared" si="11"/>
        <v>0.7907338390812039</v>
      </c>
      <c r="AI90" s="5">
        <f t="shared" si="11"/>
        <v>0.8813338314474459</v>
      </c>
      <c r="AJ90" s="5">
        <f t="shared" si="11"/>
        <v>0.8991117742513558</v>
      </c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</row>
    <row r="91" spans="7:48" ht="12.75"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</row>
    <row r="92" spans="7:48" ht="12.75"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>
        <v>0</v>
      </c>
      <c r="AC92" s="5">
        <v>10</v>
      </c>
      <c r="AD92" s="5">
        <v>20</v>
      </c>
      <c r="AE92" s="5">
        <v>30</v>
      </c>
      <c r="AF92" s="5">
        <v>40</v>
      </c>
      <c r="AG92" s="5">
        <v>50</v>
      </c>
      <c r="AH92" s="5">
        <v>60</v>
      </c>
      <c r="AI92" s="5">
        <v>70</v>
      </c>
      <c r="AJ92" s="5">
        <v>80</v>
      </c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</row>
    <row r="93" spans="7:48" ht="12.75"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>
        <v>0</v>
      </c>
      <c r="AC93" s="5">
        <f aca="true" t="shared" si="12" ref="AC93:AJ93">AC88</f>
        <v>0.35087006764674367</v>
      </c>
      <c r="AD93" s="5">
        <f t="shared" si="12"/>
        <v>0.6888382529134314</v>
      </c>
      <c r="AE93" s="5">
        <f t="shared" si="12"/>
        <v>0.9956935263900486</v>
      </c>
      <c r="AF93" s="5">
        <f t="shared" si="12"/>
        <v>1.150025078607524</v>
      </c>
      <c r="AG93" s="5">
        <f t="shared" si="12"/>
        <v>0.993112091702828</v>
      </c>
      <c r="AH93" s="5">
        <f t="shared" si="12"/>
        <v>0.7109705787954064</v>
      </c>
      <c r="AI93" s="5">
        <f t="shared" si="12"/>
        <v>0.32802015934957174</v>
      </c>
      <c r="AJ93" s="5">
        <f t="shared" si="12"/>
        <v>-0.1241446684790457</v>
      </c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</row>
    <row r="94" spans="7:48" ht="12.75"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>
        <v>0</v>
      </c>
      <c r="AC94" s="5">
        <f aca="true" t="shared" si="13" ref="AC94:AJ94">AC90</f>
        <v>0.03059586989879605</v>
      </c>
      <c r="AD94" s="5">
        <f t="shared" si="13"/>
        <v>0.1212584354516433</v>
      </c>
      <c r="AE94" s="5">
        <f t="shared" si="13"/>
        <v>0.26814960660690673</v>
      </c>
      <c r="AF94" s="5">
        <f t="shared" si="13"/>
        <v>0.4552562689626951</v>
      </c>
      <c r="AG94" s="5">
        <f t="shared" si="13"/>
        <v>0.6421378302137578</v>
      </c>
      <c r="AH94" s="5">
        <f t="shared" si="13"/>
        <v>0.7907338390812039</v>
      </c>
      <c r="AI94" s="5">
        <f t="shared" si="13"/>
        <v>0.8813338314474459</v>
      </c>
      <c r="AJ94" s="5">
        <f t="shared" si="13"/>
        <v>0.8991117742513558</v>
      </c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</row>
    <row r="95" spans="7:48" ht="12.75"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</row>
    <row r="96" spans="7:48" ht="12.75"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</row>
    <row r="97" spans="7:48" ht="12.75"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</row>
    <row r="98" spans="7:48" ht="12.75"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</row>
    <row r="99" spans="7:48" ht="12.75"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</row>
    <row r="100" spans="7:48" ht="12.75"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</row>
    <row r="101" spans="7:48" ht="12.75"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</row>
    <row r="102" spans="7:48" ht="12.75"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</row>
    <row r="103" spans="7:48" ht="12.75"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</row>
    <row r="104" spans="7:48" ht="12.75"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</row>
    <row r="105" spans="7:48" ht="12.75"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</row>
    <row r="106" spans="7:48" ht="12.75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</row>
    <row r="107" spans="7:48" ht="12.75"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</row>
    <row r="108" spans="7:48" ht="12.75"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</row>
    <row r="109" spans="7:48" ht="12.75"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</row>
    <row r="110" spans="7:48" ht="12.75"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</row>
    <row r="111" spans="7:48" ht="12.75"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</row>
    <row r="112" spans="7:48" ht="12.75"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</row>
    <row r="113" spans="7:48" ht="12.75"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</row>
    <row r="114" spans="7:48" ht="12.75"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</row>
    <row r="115" spans="7:48" ht="12.75"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</row>
    <row r="116" spans="7:48" ht="12.75"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</row>
    <row r="117" spans="7:48" ht="12.75"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</row>
    <row r="118" spans="7:48" ht="12.75"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</row>
    <row r="119" spans="7:48" ht="12.75"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</row>
    <row r="120" spans="7:48" ht="12.75"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</row>
    <row r="121" spans="7:48" ht="12.75"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</row>
    <row r="122" spans="7:48" ht="12.75"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</row>
    <row r="123" spans="7:48" ht="12.75"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</row>
    <row r="124" spans="7:48" ht="12.75"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</row>
    <row r="125" spans="7:48" ht="12.75"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</row>
    <row r="126" spans="7:48" ht="12.75"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</row>
    <row r="127" spans="7:48" ht="12.75"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</row>
    <row r="128" spans="7:48" ht="12.75"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</row>
    <row r="129" spans="28:36" ht="12.75"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28:36" ht="12.75"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28:36" ht="12.75"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28:36" ht="12.75"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28:36" ht="12.75">
      <c r="AB133" s="5"/>
      <c r="AC133" s="5"/>
      <c r="AD133" s="5"/>
      <c r="AE133" s="5"/>
      <c r="AF133" s="5"/>
      <c r="AG133" s="5"/>
      <c r="AH133" s="5"/>
      <c r="AI133" s="5"/>
      <c r="AJ133" s="5"/>
    </row>
  </sheetData>
  <printOptions/>
  <pageMargins left="1.3779527559055118" right="0.3937007874015748" top="0.984251968503937" bottom="0.984251968503937" header="0" footer="0"/>
  <pageSetup blackAndWhite="1" horizontalDpi="240" verticalDpi="24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0"/>
  <sheetViews>
    <sheetView workbookViewId="0" topLeftCell="A15">
      <selection activeCell="I7" sqref="I7"/>
    </sheetView>
  </sheetViews>
  <sheetFormatPr defaultColWidth="9.00390625" defaultRowHeight="12.75"/>
  <cols>
    <col min="1" max="1" width="7.00390625" style="345" customWidth="1"/>
    <col min="2" max="2" width="9.00390625" style="346" customWidth="1"/>
    <col min="3" max="3" width="7.00390625" style="336" customWidth="1"/>
    <col min="4" max="4" width="8.75390625" style="336" customWidth="1"/>
    <col min="5" max="5" width="7.00390625" style="336" customWidth="1"/>
    <col min="6" max="6" width="8.75390625" style="346" customWidth="1"/>
    <col min="7" max="7" width="7.00390625" style="336" customWidth="1"/>
    <col min="8" max="8" width="8.75390625" style="336" customWidth="1"/>
    <col min="9" max="9" width="4.00390625" style="336" customWidth="1"/>
    <col min="10" max="10" width="7.00390625" style="336" customWidth="1"/>
    <col min="11" max="11" width="8.75390625" style="336" customWidth="1"/>
    <col min="12" max="12" width="7.00390625" style="336" customWidth="1"/>
    <col min="13" max="13" width="8.75390625" style="336" customWidth="1"/>
    <col min="14" max="14" width="7.00390625" style="336" customWidth="1"/>
    <col min="15" max="15" width="8.75390625" style="336" customWidth="1"/>
    <col min="16" max="16" width="7.00390625" style="336" customWidth="1"/>
    <col min="17" max="17" width="8.75390625" style="336" customWidth="1"/>
    <col min="18" max="16384" width="9.125" style="336" customWidth="1"/>
  </cols>
  <sheetData>
    <row r="1" spans="5:11" ht="18">
      <c r="E1" s="347" t="s">
        <v>287</v>
      </c>
      <c r="F1"/>
      <c r="H1"/>
      <c r="K1" s="347" t="s">
        <v>288</v>
      </c>
    </row>
    <row r="2" spans="6:8" ht="12.75">
      <c r="F2"/>
      <c r="H2"/>
    </row>
    <row r="4" spans="6:11" ht="15.75">
      <c r="F4"/>
      <c r="G4" s="348"/>
      <c r="H4" s="349" t="s">
        <v>289</v>
      </c>
      <c r="I4" s="350" t="s">
        <v>290</v>
      </c>
      <c r="J4" s="348" t="s">
        <v>291</v>
      </c>
      <c r="K4" s="348"/>
    </row>
    <row r="6" spans="8:10" ht="15.75">
      <c r="H6" s="349">
        <v>6</v>
      </c>
      <c r="I6" s="350">
        <v>5</v>
      </c>
      <c r="J6" s="351">
        <v>2002</v>
      </c>
    </row>
    <row r="9" spans="1:17" ht="15">
      <c r="A9" s="352"/>
      <c r="B9" s="368"/>
      <c r="C9" s="353"/>
      <c r="D9" s="367"/>
      <c r="E9" s="353" t="s">
        <v>292</v>
      </c>
      <c r="F9" s="367">
        <v>1083590</v>
      </c>
      <c r="G9" s="353" t="s">
        <v>295</v>
      </c>
      <c r="H9" s="367">
        <v>8059870</v>
      </c>
      <c r="I9" s="354"/>
      <c r="J9" s="352" t="s">
        <v>293</v>
      </c>
      <c r="K9" s="368">
        <v>3384226</v>
      </c>
      <c r="L9" s="355" t="s">
        <v>292</v>
      </c>
      <c r="M9" s="368">
        <v>2882713</v>
      </c>
      <c r="N9" s="355" t="s">
        <v>293</v>
      </c>
      <c r="O9" s="368">
        <v>2541130</v>
      </c>
      <c r="P9" s="355" t="s">
        <v>302</v>
      </c>
      <c r="Q9" s="368">
        <v>2320100</v>
      </c>
    </row>
    <row r="10" spans="1:17" ht="15">
      <c r="A10" s="356"/>
      <c r="B10" s="369"/>
      <c r="C10" s="357"/>
      <c r="D10" s="366"/>
      <c r="E10" s="357" t="s">
        <v>292</v>
      </c>
      <c r="F10" s="366">
        <v>1726085</v>
      </c>
      <c r="G10" s="357" t="s">
        <v>292</v>
      </c>
      <c r="H10" s="366">
        <v>2201194</v>
      </c>
      <c r="I10" s="354"/>
      <c r="J10" s="356" t="s">
        <v>292</v>
      </c>
      <c r="K10" s="369">
        <v>2117210</v>
      </c>
      <c r="L10" s="358" t="s">
        <v>294</v>
      </c>
      <c r="M10" s="369">
        <v>2391565</v>
      </c>
      <c r="N10" s="358" t="s">
        <v>292</v>
      </c>
      <c r="O10" s="369">
        <v>2522321</v>
      </c>
      <c r="P10" s="358" t="s">
        <v>302</v>
      </c>
      <c r="Q10" s="369">
        <v>2100071</v>
      </c>
    </row>
    <row r="11" spans="1:17" ht="15">
      <c r="A11" s="356"/>
      <c r="B11" s="369"/>
      <c r="C11" s="357" t="s">
        <v>298</v>
      </c>
      <c r="D11" s="366">
        <v>2449886</v>
      </c>
      <c r="E11" s="357"/>
      <c r="F11" s="424" t="s">
        <v>297</v>
      </c>
      <c r="G11" s="357"/>
      <c r="H11" s="366">
        <v>5816156</v>
      </c>
      <c r="I11" s="354"/>
      <c r="J11" s="356" t="s">
        <v>292</v>
      </c>
      <c r="K11" s="369">
        <v>1601750</v>
      </c>
      <c r="L11" s="358" t="s">
        <v>297</v>
      </c>
      <c r="M11" s="369">
        <v>4687060</v>
      </c>
      <c r="N11" s="358" t="s">
        <v>293</v>
      </c>
      <c r="O11" s="369">
        <v>3034948</v>
      </c>
      <c r="P11" s="358" t="s">
        <v>360</v>
      </c>
      <c r="Q11" s="369">
        <v>3482255</v>
      </c>
    </row>
    <row r="12" spans="1:17" ht="15">
      <c r="A12" s="356"/>
      <c r="B12" s="369"/>
      <c r="C12" s="357"/>
      <c r="D12" s="366"/>
      <c r="E12" s="357" t="s">
        <v>293</v>
      </c>
      <c r="F12" s="366">
        <v>2721050</v>
      </c>
      <c r="G12" s="357" t="s">
        <v>292</v>
      </c>
      <c r="H12" s="366">
        <v>2633710</v>
      </c>
      <c r="I12" s="417">
        <v>84</v>
      </c>
      <c r="J12" s="356" t="s">
        <v>292</v>
      </c>
      <c r="K12" s="369">
        <v>2286294</v>
      </c>
      <c r="L12" s="358" t="s">
        <v>292</v>
      </c>
      <c r="M12" s="369">
        <v>2740405</v>
      </c>
      <c r="N12" s="358" t="s">
        <v>293</v>
      </c>
      <c r="O12" s="369">
        <v>2255775</v>
      </c>
      <c r="P12" s="358" t="s">
        <v>302</v>
      </c>
      <c r="Q12" s="369">
        <v>2100045</v>
      </c>
    </row>
    <row r="13" spans="1:17" ht="15">
      <c r="A13" s="354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</row>
    <row r="14" spans="1:17" ht="15">
      <c r="A14" s="359" t="s">
        <v>297</v>
      </c>
      <c r="B14" s="367">
        <v>6052330</v>
      </c>
      <c r="C14" s="353" t="s">
        <v>298</v>
      </c>
      <c r="D14" s="367">
        <v>2436528</v>
      </c>
      <c r="E14" s="353" t="s">
        <v>292</v>
      </c>
      <c r="F14" s="367">
        <v>2964555</v>
      </c>
      <c r="G14" s="353" t="s">
        <v>292</v>
      </c>
      <c r="H14" s="367">
        <v>2330972</v>
      </c>
      <c r="I14" s="354"/>
      <c r="J14" s="359" t="s">
        <v>302</v>
      </c>
      <c r="K14" s="367">
        <v>2300110</v>
      </c>
      <c r="L14" s="353" t="s">
        <v>360</v>
      </c>
      <c r="M14" s="367">
        <v>3482208</v>
      </c>
      <c r="N14" s="353" t="s">
        <v>302</v>
      </c>
      <c r="O14" s="367">
        <v>2500041</v>
      </c>
      <c r="P14" s="353" t="s">
        <v>358</v>
      </c>
      <c r="Q14" s="367">
        <v>2680939</v>
      </c>
    </row>
    <row r="15" spans="1:17" ht="15">
      <c r="A15" s="360" t="s">
        <v>292</v>
      </c>
      <c r="B15" s="366">
        <v>2103747</v>
      </c>
      <c r="C15" s="357" t="s">
        <v>298</v>
      </c>
      <c r="D15" s="366">
        <v>3274289</v>
      </c>
      <c r="E15" s="357" t="s">
        <v>298</v>
      </c>
      <c r="F15" s="366">
        <v>2415130</v>
      </c>
      <c r="G15" s="357" t="s">
        <v>294</v>
      </c>
      <c r="H15" s="366">
        <v>2463562</v>
      </c>
      <c r="I15" s="354"/>
      <c r="J15" s="360" t="s">
        <v>362</v>
      </c>
      <c r="K15" s="366">
        <v>2511444</v>
      </c>
      <c r="L15" s="357" t="s">
        <v>302</v>
      </c>
      <c r="M15" s="366">
        <v>2320040</v>
      </c>
      <c r="N15" s="357" t="s">
        <v>359</v>
      </c>
      <c r="O15" s="366">
        <v>1517525</v>
      </c>
      <c r="P15" s="357" t="s">
        <v>302</v>
      </c>
      <c r="Q15" s="366">
        <v>2300059</v>
      </c>
    </row>
    <row r="16" spans="1:17" ht="15">
      <c r="A16" s="360" t="s">
        <v>298</v>
      </c>
      <c r="B16" s="366">
        <v>4132735</v>
      </c>
      <c r="C16" s="357" t="s">
        <v>294</v>
      </c>
      <c r="D16" s="366">
        <v>3437887</v>
      </c>
      <c r="E16" s="357" t="s">
        <v>297</v>
      </c>
      <c r="F16" s="366">
        <v>2263313</v>
      </c>
      <c r="G16" s="357" t="s">
        <v>292</v>
      </c>
      <c r="H16" s="366">
        <v>2832266</v>
      </c>
      <c r="I16" s="26"/>
      <c r="J16" s="360" t="s">
        <v>302</v>
      </c>
      <c r="K16" s="366">
        <v>2100087</v>
      </c>
      <c r="L16" s="357" t="s">
        <v>359</v>
      </c>
      <c r="M16" s="366">
        <v>1513052</v>
      </c>
      <c r="N16" s="357" t="s">
        <v>302</v>
      </c>
      <c r="O16" s="366">
        <v>2320060</v>
      </c>
      <c r="P16" s="357" t="s">
        <v>304</v>
      </c>
      <c r="Q16" s="366">
        <v>3280540</v>
      </c>
    </row>
    <row r="17" spans="1:17" ht="15">
      <c r="A17" s="360" t="s">
        <v>299</v>
      </c>
      <c r="B17" s="366">
        <v>2100139</v>
      </c>
      <c r="C17" s="357" t="s">
        <v>292</v>
      </c>
      <c r="D17" s="366">
        <v>2013216</v>
      </c>
      <c r="E17" s="357" t="s">
        <v>292</v>
      </c>
      <c r="F17" s="366">
        <v>2979637</v>
      </c>
      <c r="G17" s="357" t="s">
        <v>292</v>
      </c>
      <c r="H17" s="366">
        <v>2636767</v>
      </c>
      <c r="I17" s="417">
        <v>82</v>
      </c>
      <c r="J17" s="360" t="s">
        <v>363</v>
      </c>
      <c r="K17" s="366">
        <v>9240010</v>
      </c>
      <c r="L17" s="357" t="s">
        <v>361</v>
      </c>
      <c r="M17" s="366">
        <v>8739365</v>
      </c>
      <c r="N17" s="357" t="s">
        <v>360</v>
      </c>
      <c r="O17" s="366">
        <v>1481666</v>
      </c>
      <c r="P17" s="357" t="s">
        <v>292</v>
      </c>
      <c r="Q17" s="366">
        <v>2777220</v>
      </c>
    </row>
    <row r="18" spans="1:17" ht="15.75">
      <c r="A18" s="354"/>
      <c r="B18" s="354"/>
      <c r="C18" s="354"/>
      <c r="D18" s="350" t="s">
        <v>356</v>
      </c>
      <c r="E18" s="351">
        <v>2</v>
      </c>
      <c r="F18" s="354"/>
      <c r="G18" s="354"/>
      <c r="H18" s="354"/>
      <c r="I18" s="354"/>
      <c r="J18" s="354"/>
      <c r="K18" s="354"/>
      <c r="L18" s="354"/>
      <c r="M18" s="350" t="s">
        <v>356</v>
      </c>
      <c r="N18" s="351">
        <v>1</v>
      </c>
      <c r="O18" s="354"/>
      <c r="P18" s="354"/>
      <c r="Q18" s="354"/>
    </row>
    <row r="19" spans="1:17" ht="15">
      <c r="A19" s="359"/>
      <c r="B19" s="425" t="s">
        <v>292</v>
      </c>
      <c r="C19" s="353"/>
      <c r="D19" s="367">
        <v>9526870</v>
      </c>
      <c r="E19" s="355"/>
      <c r="F19" s="423" t="s">
        <v>293</v>
      </c>
      <c r="G19" s="361"/>
      <c r="H19" s="362">
        <v>4207842</v>
      </c>
      <c r="I19" s="354"/>
      <c r="J19" s="359"/>
      <c r="K19" s="367" t="s">
        <v>294</v>
      </c>
      <c r="L19" s="353"/>
      <c r="M19" s="367">
        <v>1702615</v>
      </c>
      <c r="N19" s="353"/>
      <c r="O19" s="353" t="s">
        <v>293</v>
      </c>
      <c r="P19" s="353"/>
      <c r="Q19" s="367">
        <v>4226523</v>
      </c>
    </row>
    <row r="20" spans="1:17" ht="15">
      <c r="A20" s="360"/>
      <c r="B20" s="424" t="s">
        <v>292</v>
      </c>
      <c r="C20" s="357"/>
      <c r="D20" s="366">
        <v>9305360</v>
      </c>
      <c r="E20" s="358"/>
      <c r="F20" s="415" t="s">
        <v>293</v>
      </c>
      <c r="G20" s="363"/>
      <c r="H20" s="364">
        <v>5001497</v>
      </c>
      <c r="I20" s="354"/>
      <c r="J20" s="360"/>
      <c r="K20" s="366" t="s">
        <v>292</v>
      </c>
      <c r="L20" s="357"/>
      <c r="M20" s="366">
        <v>9804878</v>
      </c>
      <c r="N20" s="357"/>
      <c r="O20" s="357" t="s">
        <v>292</v>
      </c>
      <c r="P20" s="357"/>
      <c r="Q20" s="366">
        <v>4945359</v>
      </c>
    </row>
    <row r="21" spans="1:17" ht="15">
      <c r="A21" s="360"/>
      <c r="B21" s="424" t="s">
        <v>297</v>
      </c>
      <c r="C21" s="357"/>
      <c r="D21" s="366">
        <v>9423476</v>
      </c>
      <c r="E21" s="357"/>
      <c r="F21" s="424" t="s">
        <v>292</v>
      </c>
      <c r="G21" s="415"/>
      <c r="H21" s="366">
        <v>4340175</v>
      </c>
      <c r="I21" s="354"/>
      <c r="J21" s="360"/>
      <c r="K21" s="366" t="s">
        <v>295</v>
      </c>
      <c r="L21" s="357"/>
      <c r="M21" s="366">
        <v>5393523</v>
      </c>
      <c r="N21" s="357"/>
      <c r="O21" s="357" t="s">
        <v>292</v>
      </c>
      <c r="P21" s="357"/>
      <c r="Q21" s="366">
        <v>9084551</v>
      </c>
    </row>
    <row r="22" spans="1:17" ht="15">
      <c r="A22" s="360"/>
      <c r="B22" s="424" t="s">
        <v>293</v>
      </c>
      <c r="C22" s="357"/>
      <c r="D22" s="366">
        <v>5199823</v>
      </c>
      <c r="E22" s="357"/>
      <c r="F22" s="424" t="s">
        <v>297</v>
      </c>
      <c r="G22" s="357"/>
      <c r="H22" s="366">
        <v>8429762</v>
      </c>
      <c r="I22" s="417">
        <v>4</v>
      </c>
      <c r="J22" s="360"/>
      <c r="K22" s="366" t="s">
        <v>292</v>
      </c>
      <c r="L22" s="357"/>
      <c r="M22" s="366">
        <v>9322496</v>
      </c>
      <c r="N22" s="357"/>
      <c r="O22" s="357" t="s">
        <v>292</v>
      </c>
      <c r="P22" s="357"/>
      <c r="Q22" s="366">
        <v>9302381</v>
      </c>
    </row>
    <row r="23" spans="1:17" ht="15">
      <c r="A23" s="354"/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</row>
    <row r="24" spans="1:17" ht="15">
      <c r="A24" s="359" t="s">
        <v>304</v>
      </c>
      <c r="B24" s="367">
        <v>3135434</v>
      </c>
      <c r="C24" s="353" t="s">
        <v>299</v>
      </c>
      <c r="D24" s="367">
        <v>2100226</v>
      </c>
      <c r="E24" s="355"/>
      <c r="F24" s="423" t="s">
        <v>297</v>
      </c>
      <c r="G24" s="414"/>
      <c r="H24" s="362">
        <v>7089436</v>
      </c>
      <c r="I24" s="354"/>
      <c r="J24" s="359" t="s">
        <v>352</v>
      </c>
      <c r="K24" s="367">
        <v>1752</v>
      </c>
      <c r="L24" s="353" t="s">
        <v>295</v>
      </c>
      <c r="M24" s="367">
        <v>8159530</v>
      </c>
      <c r="N24" s="353" t="s">
        <v>352</v>
      </c>
      <c r="O24" s="367">
        <v>187837</v>
      </c>
      <c r="P24" s="353" t="s">
        <v>352</v>
      </c>
      <c r="Q24" s="367">
        <v>178265</v>
      </c>
    </row>
    <row r="25" spans="1:17" ht="15">
      <c r="A25" s="360" t="s">
        <v>299</v>
      </c>
      <c r="B25" s="366">
        <v>2101182</v>
      </c>
      <c r="C25" s="357" t="s">
        <v>298</v>
      </c>
      <c r="D25" s="366">
        <v>4133177</v>
      </c>
      <c r="E25" s="357"/>
      <c r="F25" s="424" t="s">
        <v>292</v>
      </c>
      <c r="G25" s="357"/>
      <c r="H25" s="366">
        <v>4298123</v>
      </c>
      <c r="I25" s="354"/>
      <c r="J25" s="360" t="s">
        <v>352</v>
      </c>
      <c r="K25" s="366">
        <v>249570</v>
      </c>
      <c r="L25" s="357" t="s">
        <v>299</v>
      </c>
      <c r="M25" s="366">
        <v>2100988</v>
      </c>
      <c r="N25" s="357" t="s">
        <v>352</v>
      </c>
      <c r="O25" s="366">
        <v>654675</v>
      </c>
      <c r="P25" s="357" t="s">
        <v>352</v>
      </c>
      <c r="Q25" s="366">
        <v>167384</v>
      </c>
    </row>
    <row r="26" spans="1:17" ht="15">
      <c r="A26" s="360" t="s">
        <v>297</v>
      </c>
      <c r="B26" s="366">
        <v>3035457</v>
      </c>
      <c r="C26" s="357" t="s">
        <v>364</v>
      </c>
      <c r="D26" s="366">
        <v>3122714</v>
      </c>
      <c r="E26" s="357"/>
      <c r="F26" s="424" t="s">
        <v>292</v>
      </c>
      <c r="G26" s="357"/>
      <c r="H26" s="366">
        <v>9128691</v>
      </c>
      <c r="I26" s="354"/>
      <c r="J26" s="360" t="s">
        <v>352</v>
      </c>
      <c r="K26" s="366">
        <v>550367</v>
      </c>
      <c r="L26" s="357" t="s">
        <v>352</v>
      </c>
      <c r="M26" s="366">
        <v>266812</v>
      </c>
      <c r="N26" s="357" t="s">
        <v>352</v>
      </c>
      <c r="O26" s="366">
        <v>273560</v>
      </c>
      <c r="P26" s="357" t="s">
        <v>352</v>
      </c>
      <c r="Q26" s="366">
        <v>652538</v>
      </c>
    </row>
    <row r="27" spans="1:17" ht="15">
      <c r="A27" s="360" t="s">
        <v>297</v>
      </c>
      <c r="B27" s="366">
        <v>2122629</v>
      </c>
      <c r="C27" s="357" t="s">
        <v>298</v>
      </c>
      <c r="D27" s="366">
        <v>2418550</v>
      </c>
      <c r="E27" s="357"/>
      <c r="F27" s="424" t="s">
        <v>300</v>
      </c>
      <c r="G27" s="357"/>
      <c r="H27" s="366">
        <v>1718361</v>
      </c>
      <c r="I27" s="417">
        <v>2</v>
      </c>
      <c r="J27" s="360" t="s">
        <v>299</v>
      </c>
      <c r="K27" s="366">
        <v>2100334</v>
      </c>
      <c r="L27" s="357" t="s">
        <v>357</v>
      </c>
      <c r="M27" s="366">
        <v>2621884</v>
      </c>
      <c r="N27" s="357" t="s">
        <v>352</v>
      </c>
      <c r="O27" s="366">
        <v>80197</v>
      </c>
      <c r="P27" s="365" t="s">
        <v>352</v>
      </c>
      <c r="Q27" s="366">
        <v>184313</v>
      </c>
    </row>
    <row r="28" spans="1:6" ht="12.75">
      <c r="A28" s="336"/>
      <c r="B28" s="336"/>
      <c r="F28" s="336"/>
    </row>
    <row r="29" spans="1:6" ht="15">
      <c r="A29" s="354"/>
      <c r="B29" s="354"/>
      <c r="F29" s="336"/>
    </row>
    <row r="30" spans="1:6" ht="15">
      <c r="A30" s="354"/>
      <c r="B30" s="354"/>
      <c r="F30" s="336"/>
    </row>
    <row r="31" spans="1:6" ht="12.75">
      <c r="A31" s="336"/>
      <c r="B31" s="336"/>
      <c r="F31" s="336"/>
    </row>
    <row r="32" spans="1:6" ht="12.75">
      <c r="A32" s="336"/>
      <c r="B32" s="336"/>
      <c r="F32" s="336"/>
    </row>
    <row r="33" spans="1:6" ht="12.75">
      <c r="A33" s="336"/>
      <c r="B33" s="336"/>
      <c r="F33" s="336"/>
    </row>
    <row r="34" spans="1:6" ht="12.75">
      <c r="A34" s="336"/>
      <c r="B34" s="336"/>
      <c r="F34" s="336"/>
    </row>
    <row r="35" spans="1:6" ht="12.75">
      <c r="A35" s="336"/>
      <c r="B35" s="336"/>
      <c r="F35" s="336"/>
    </row>
    <row r="36" spans="1:6" ht="12.75">
      <c r="A36" s="336"/>
      <c r="B36" s="336"/>
      <c r="F36" s="336"/>
    </row>
    <row r="37" spans="1:6" ht="12.75">
      <c r="A37" s="336"/>
      <c r="B37" s="336"/>
      <c r="F37" s="336"/>
    </row>
    <row r="38" spans="1:6" ht="12.75">
      <c r="A38" s="336"/>
      <c r="B38" s="336"/>
      <c r="F38" s="336"/>
    </row>
    <row r="39" spans="1:6" ht="12.75">
      <c r="A39" s="336"/>
      <c r="B39" s="336"/>
      <c r="F39" s="336"/>
    </row>
    <row r="40" spans="1:6" ht="12.75">
      <c r="A40" s="336"/>
      <c r="B40" s="336"/>
      <c r="F40" s="336"/>
    </row>
    <row r="41" spans="1:6" ht="12.75">
      <c r="A41" s="336"/>
      <c r="B41" s="336"/>
      <c r="F41" s="336"/>
    </row>
    <row r="42" spans="1:6" ht="12.75">
      <c r="A42" s="336"/>
      <c r="B42" s="336"/>
      <c r="F42" s="336"/>
    </row>
    <row r="43" spans="1:6" ht="12.75">
      <c r="A43" s="336"/>
      <c r="B43" s="336"/>
      <c r="F43" s="336"/>
    </row>
    <row r="44" spans="1:6" ht="12.75">
      <c r="A44" s="336"/>
      <c r="B44" s="336"/>
      <c r="F44" s="336"/>
    </row>
    <row r="45" spans="1:6" ht="12.75">
      <c r="A45" s="336"/>
      <c r="B45" s="336"/>
      <c r="F45" s="336"/>
    </row>
    <row r="46" spans="1:6" ht="12.75">
      <c r="A46" s="336"/>
      <c r="B46" s="336"/>
      <c r="F46" s="336"/>
    </row>
    <row r="47" spans="1:6" ht="12.75">
      <c r="A47" s="336"/>
      <c r="B47" s="336"/>
      <c r="F47" s="336"/>
    </row>
    <row r="48" spans="1:6" ht="12.75">
      <c r="A48" s="336"/>
      <c r="B48" s="336"/>
      <c r="F48" s="336"/>
    </row>
    <row r="49" spans="1:6" ht="12.75">
      <c r="A49" s="336"/>
      <c r="B49" s="336"/>
      <c r="F49" s="336"/>
    </row>
    <row r="50" spans="1:6" ht="12.75">
      <c r="A50" s="336"/>
      <c r="B50" s="336"/>
      <c r="F50" s="336"/>
    </row>
    <row r="51" spans="1:6" ht="12.75">
      <c r="A51" s="336"/>
      <c r="B51" s="336"/>
      <c r="F51" s="336"/>
    </row>
    <row r="52" spans="1:6" ht="12.75">
      <c r="A52" s="336"/>
      <c r="B52" s="336"/>
      <c r="F52" s="336"/>
    </row>
    <row r="53" spans="1:6" ht="12.75">
      <c r="A53" s="336"/>
      <c r="B53" s="336"/>
      <c r="F53" s="336"/>
    </row>
    <row r="54" spans="1:6" ht="12.75">
      <c r="A54" s="336"/>
      <c r="B54" s="336"/>
      <c r="F54" s="336"/>
    </row>
    <row r="55" spans="1:6" ht="12.75">
      <c r="A55" s="336"/>
      <c r="B55" s="336"/>
      <c r="F55" s="336"/>
    </row>
    <row r="56" spans="1:6" ht="12.75">
      <c r="A56" s="336"/>
      <c r="B56" s="336"/>
      <c r="F56" s="336"/>
    </row>
    <row r="57" spans="1:6" ht="12.75">
      <c r="A57" s="336"/>
      <c r="B57" s="336"/>
      <c r="F57" s="336"/>
    </row>
    <row r="58" spans="1:6" ht="12.75">
      <c r="A58" s="336"/>
      <c r="B58" s="336"/>
      <c r="F58" s="336"/>
    </row>
    <row r="59" spans="1:6" ht="12.75">
      <c r="A59" s="336"/>
      <c r="B59" s="336"/>
      <c r="F59" s="336"/>
    </row>
    <row r="60" spans="1:6" ht="12.75">
      <c r="A60" s="336"/>
      <c r="B60" s="336"/>
      <c r="F60" s="336"/>
    </row>
    <row r="61" spans="1:6" ht="12.75">
      <c r="A61" s="336"/>
      <c r="B61" s="336"/>
      <c r="E61" s="343"/>
      <c r="F61" s="344"/>
    </row>
    <row r="62" spans="1:5" ht="12.75">
      <c r="A62" s="336"/>
      <c r="B62" s="336"/>
      <c r="E62" s="345"/>
    </row>
    <row r="63" spans="1:2" ht="12.75">
      <c r="A63" s="336"/>
      <c r="B63" s="336"/>
    </row>
    <row r="64" spans="1:2" ht="12.75">
      <c r="A64" s="336"/>
      <c r="B64" s="336"/>
    </row>
    <row r="65" spans="1:2" ht="12.75">
      <c r="A65" s="336"/>
      <c r="B65" s="336"/>
    </row>
    <row r="66" spans="1:2" ht="12.75">
      <c r="A66" s="336"/>
      <c r="B66" s="336"/>
    </row>
    <row r="67" spans="1:2" ht="12.75">
      <c r="A67" s="336"/>
      <c r="B67" s="336"/>
    </row>
    <row r="68" spans="1:2" ht="12.75">
      <c r="A68" s="336"/>
      <c r="B68" s="336"/>
    </row>
    <row r="69" spans="1:2" ht="12.75">
      <c r="A69" s="336"/>
      <c r="B69" s="336"/>
    </row>
    <row r="70" spans="1:2" ht="12.75">
      <c r="A70" s="336"/>
      <c r="B70" s="336"/>
    </row>
    <row r="71" spans="1:2" ht="12.75">
      <c r="A71" s="336"/>
      <c r="B71" s="336"/>
    </row>
    <row r="72" spans="1:2" ht="12.75">
      <c r="A72" s="336"/>
      <c r="B72" s="336"/>
    </row>
    <row r="73" spans="1:2" ht="12.75">
      <c r="A73" s="336"/>
      <c r="B73" s="336"/>
    </row>
    <row r="74" spans="1:2" ht="12.75">
      <c r="A74" s="336"/>
      <c r="B74" s="336"/>
    </row>
    <row r="75" spans="1:2" ht="12.75">
      <c r="A75" s="336"/>
      <c r="B75" s="336"/>
    </row>
    <row r="76" spans="1:2" ht="12.75">
      <c r="A76" s="336"/>
      <c r="B76" s="336"/>
    </row>
    <row r="77" spans="1:2" ht="12.75">
      <c r="A77" s="336"/>
      <c r="B77" s="336"/>
    </row>
    <row r="78" spans="1:2" ht="12.75">
      <c r="A78" s="336"/>
      <c r="B78" s="336"/>
    </row>
    <row r="79" spans="1:2" ht="12.75">
      <c r="A79" s="336"/>
      <c r="B79" s="336"/>
    </row>
    <row r="80" spans="1:2" ht="12.75">
      <c r="A80" s="336"/>
      <c r="B80" s="336"/>
    </row>
    <row r="81" spans="1:2" ht="12.75">
      <c r="A81" s="336"/>
      <c r="B81" s="336"/>
    </row>
    <row r="82" spans="1:2" ht="12.75">
      <c r="A82" s="336"/>
      <c r="B82" s="336"/>
    </row>
    <row r="83" spans="1:2" ht="12.75">
      <c r="A83" s="336"/>
      <c r="B83" s="336"/>
    </row>
    <row r="84" spans="1:2" ht="12.75">
      <c r="A84" s="336"/>
      <c r="B84" s="336"/>
    </row>
    <row r="85" spans="1:2" ht="12.75">
      <c r="A85" s="336"/>
      <c r="B85" s="336"/>
    </row>
    <row r="86" spans="1:2" ht="12.75">
      <c r="A86" s="336"/>
      <c r="B86" s="336"/>
    </row>
    <row r="87" spans="1:2" ht="12.75">
      <c r="A87" s="336"/>
      <c r="B87" s="336"/>
    </row>
    <row r="88" spans="1:2" ht="12.75">
      <c r="A88" s="336"/>
      <c r="B88" s="336"/>
    </row>
    <row r="89" spans="1:6" ht="12.75">
      <c r="A89" s="336"/>
      <c r="B89" s="336"/>
      <c r="F89" s="336"/>
    </row>
    <row r="90" spans="1:6" ht="12.75">
      <c r="A90" s="336"/>
      <c r="B90" s="336"/>
      <c r="F90" s="336"/>
    </row>
    <row r="91" spans="1:6" ht="12.75">
      <c r="A91" s="336"/>
      <c r="B91" s="336"/>
      <c r="F91" s="336"/>
    </row>
    <row r="92" spans="1:6" ht="12.75">
      <c r="A92" s="336"/>
      <c r="B92" s="336"/>
      <c r="F92" s="336"/>
    </row>
    <row r="93" spans="1:6" ht="12.75">
      <c r="A93" s="336"/>
      <c r="B93" s="336"/>
      <c r="F93" s="336"/>
    </row>
    <row r="94" spans="1:6" ht="12.75">
      <c r="A94" s="336"/>
      <c r="B94" s="336"/>
      <c r="F94" s="336"/>
    </row>
    <row r="95" spans="1:6" ht="12.75">
      <c r="A95" s="336"/>
      <c r="B95" s="336"/>
      <c r="F95" s="336"/>
    </row>
    <row r="96" spans="1:6" ht="12.75">
      <c r="A96" s="336"/>
      <c r="B96" s="336"/>
      <c r="F96" s="336"/>
    </row>
    <row r="97" spans="1:6" ht="12.75">
      <c r="A97" s="336"/>
      <c r="B97" s="336"/>
      <c r="F97" s="336"/>
    </row>
    <row r="98" spans="1:6" ht="12.75">
      <c r="A98" s="336"/>
      <c r="B98" s="336"/>
      <c r="F98" s="336"/>
    </row>
    <row r="99" spans="1:6" ht="12.75">
      <c r="A99" s="336"/>
      <c r="B99" s="336"/>
      <c r="F99" s="336"/>
    </row>
    <row r="100" spans="1:6" ht="12.75">
      <c r="A100" s="336"/>
      <c r="B100" s="336"/>
      <c r="F100" s="336"/>
    </row>
    <row r="101" spans="1:6" ht="12.75">
      <c r="A101" s="336"/>
      <c r="B101" s="336"/>
      <c r="F101" s="336"/>
    </row>
    <row r="102" spans="1:6" ht="12.75">
      <c r="A102" s="336"/>
      <c r="B102" s="336"/>
      <c r="F102" s="336"/>
    </row>
    <row r="103" spans="1:6" ht="12.75">
      <c r="A103" s="336"/>
      <c r="B103" s="336"/>
      <c r="F103" s="336"/>
    </row>
    <row r="104" spans="1:6" ht="12.75">
      <c r="A104" s="336"/>
      <c r="B104" s="336"/>
      <c r="F104" s="336"/>
    </row>
    <row r="105" spans="1:6" ht="12.75">
      <c r="A105" s="336"/>
      <c r="B105" s="336"/>
      <c r="F105" s="336"/>
    </row>
    <row r="106" spans="1:6" ht="12.75">
      <c r="A106" s="336"/>
      <c r="B106" s="336"/>
      <c r="F106" s="336"/>
    </row>
    <row r="107" spans="1:6" ht="12.75">
      <c r="A107" s="336"/>
      <c r="B107" s="336"/>
      <c r="F107" s="336"/>
    </row>
    <row r="108" spans="1:6" ht="12.75">
      <c r="A108" s="336"/>
      <c r="B108" s="336"/>
      <c r="F108" s="336"/>
    </row>
    <row r="109" spans="1:6" ht="12.75">
      <c r="A109" s="336"/>
      <c r="B109" s="336"/>
      <c r="F109" s="336"/>
    </row>
    <row r="110" spans="1:6" ht="12.75">
      <c r="A110" s="336"/>
      <c r="B110" s="336"/>
      <c r="F110" s="336"/>
    </row>
    <row r="111" spans="1:6" ht="12.75">
      <c r="A111" s="336"/>
      <c r="B111" s="336"/>
      <c r="F111" s="336"/>
    </row>
    <row r="112" spans="1:6" ht="12.75">
      <c r="A112" s="336"/>
      <c r="B112" s="336"/>
      <c r="F112" s="336"/>
    </row>
    <row r="113" spans="1:6" ht="12.75">
      <c r="A113" s="336"/>
      <c r="B113" s="336"/>
      <c r="F113" s="336"/>
    </row>
    <row r="114" spans="1:6" ht="12.75">
      <c r="A114" s="336"/>
      <c r="B114" s="336"/>
      <c r="F114" s="336"/>
    </row>
    <row r="115" spans="1:6" ht="12.75">
      <c r="A115" s="336"/>
      <c r="B115" s="336"/>
      <c r="F115" s="336"/>
    </row>
    <row r="116" spans="1:6" ht="12.75">
      <c r="A116" s="336"/>
      <c r="B116" s="336"/>
      <c r="F116" s="336"/>
    </row>
    <row r="117" ht="12.75">
      <c r="F117" s="336"/>
    </row>
    <row r="118" ht="12.75">
      <c r="F118" s="336"/>
    </row>
    <row r="119" ht="12.75">
      <c r="F119" s="336"/>
    </row>
    <row r="120" ht="12.75">
      <c r="F120" s="336"/>
    </row>
  </sheetData>
  <printOptions horizontalCentered="1" verticalCentered="1"/>
  <pageMargins left="0.1968503937007874" right="0.1968503937007874" top="0.984251968503937" bottom="0.984251968503937" header="0" footer="0"/>
  <pageSetup blackAndWhite="1"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="75" zoomScaleNormal="75" workbookViewId="0" topLeftCell="A8">
      <selection activeCell="E26" sqref="E26"/>
    </sheetView>
  </sheetViews>
  <sheetFormatPr defaultColWidth="9.00390625" defaultRowHeight="12.75"/>
  <cols>
    <col min="1" max="1" width="20.75390625" style="0" customWidth="1"/>
    <col min="2" max="2" width="10.375" style="0" customWidth="1"/>
  </cols>
  <sheetData>
    <row r="1" spans="1:1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>
      <c r="A2" s="27" t="s">
        <v>277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0.25">
      <c r="A3" s="5"/>
      <c r="B3" s="5"/>
      <c r="C3" s="5"/>
      <c r="D3" s="5"/>
      <c r="E3" s="5"/>
      <c r="F3" s="41" t="s">
        <v>278</v>
      </c>
      <c r="G3" s="31"/>
      <c r="H3" s="31"/>
      <c r="I3" s="5"/>
      <c r="J3" s="5"/>
      <c r="K3" s="5"/>
      <c r="L3" s="5"/>
      <c r="M3" s="5"/>
      <c r="N3" s="5"/>
    </row>
    <row r="4" spans="1:14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.75">
      <c r="A5" s="5"/>
      <c r="B5" s="27" t="s">
        <v>279</v>
      </c>
      <c r="C5" s="32"/>
      <c r="D5" s="32"/>
      <c r="E5" s="32"/>
      <c r="F5" s="32"/>
      <c r="G5" s="32"/>
      <c r="H5" s="27" t="s">
        <v>280</v>
      </c>
      <c r="I5" s="32"/>
      <c r="J5" s="32"/>
      <c r="K5" s="32"/>
      <c r="L5" s="32"/>
      <c r="M5" s="5"/>
      <c r="N5" s="5"/>
    </row>
    <row r="6" spans="1:14" ht="12.75">
      <c r="A6" s="5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5"/>
      <c r="N6" s="5"/>
    </row>
    <row r="7" spans="1:14" ht="15.75">
      <c r="A7" s="5"/>
      <c r="B7" s="27" t="s">
        <v>353</v>
      </c>
      <c r="C7" s="32"/>
      <c r="D7" s="32"/>
      <c r="E7" s="32"/>
      <c r="F7" s="32"/>
      <c r="G7" s="32"/>
      <c r="H7" s="27" t="s">
        <v>354</v>
      </c>
      <c r="I7" s="32"/>
      <c r="J7" s="32"/>
      <c r="K7" s="32"/>
      <c r="L7" s="32"/>
      <c r="M7" s="5"/>
      <c r="N7" s="5"/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>
      <c r="A11" s="5"/>
      <c r="B11" s="5"/>
      <c r="C11" s="5"/>
      <c r="D11" s="30"/>
      <c r="E11" s="30"/>
      <c r="F11" s="30"/>
      <c r="G11" s="30"/>
      <c r="H11" s="30"/>
      <c r="I11" s="30"/>
      <c r="J11" s="30"/>
      <c r="K11" s="5"/>
      <c r="L11" s="5"/>
      <c r="M11" s="5"/>
      <c r="N11" s="5"/>
    </row>
    <row r="12" spans="1:14" ht="15">
      <c r="A12" s="5"/>
      <c r="B12" s="5"/>
      <c r="C12" s="5"/>
      <c r="D12" s="30"/>
      <c r="E12" s="30"/>
      <c r="F12" s="5"/>
      <c r="G12" s="33"/>
      <c r="H12" s="34"/>
      <c r="I12" s="34"/>
      <c r="J12" s="30"/>
      <c r="K12" s="5"/>
      <c r="L12" s="5"/>
      <c r="M12" s="5"/>
      <c r="N12" s="5"/>
    </row>
    <row r="13" spans="1:14" ht="15">
      <c r="A13" s="5"/>
      <c r="B13" s="5"/>
      <c r="C13" s="5"/>
      <c r="D13" s="30"/>
      <c r="E13" s="30"/>
      <c r="F13" s="30"/>
      <c r="G13" s="5"/>
      <c r="H13" s="35"/>
      <c r="I13" s="34"/>
      <c r="J13" s="30"/>
      <c r="K13" s="5"/>
      <c r="L13" s="5"/>
      <c r="M13" s="5"/>
      <c r="N13" s="5"/>
    </row>
    <row r="14" spans="1:14" ht="12.75">
      <c r="A14" s="5"/>
      <c r="B14" s="5"/>
      <c r="C14" s="5"/>
      <c r="D14" s="30"/>
      <c r="E14" s="49"/>
      <c r="F14" s="43"/>
      <c r="G14" s="43"/>
      <c r="H14" s="43"/>
      <c r="I14" s="43"/>
      <c r="J14" s="43"/>
      <c r="K14" s="44"/>
      <c r="L14" s="45"/>
      <c r="M14" s="5"/>
      <c r="N14" s="5"/>
    </row>
    <row r="15" spans="1:14" ht="15">
      <c r="A15" s="5"/>
      <c r="B15" s="5"/>
      <c r="C15" s="5"/>
      <c r="D15" s="30"/>
      <c r="E15" s="50"/>
      <c r="G15" s="32"/>
      <c r="H15" s="96" t="s">
        <v>209</v>
      </c>
      <c r="I15" s="97"/>
      <c r="J15" s="5"/>
      <c r="L15" s="46"/>
      <c r="M15" s="5"/>
      <c r="N15" s="5"/>
    </row>
    <row r="16" spans="1:14" ht="15">
      <c r="A16" s="37" t="s">
        <v>281</v>
      </c>
      <c r="B16" s="39">
        <f>F22</f>
        <v>538.9000000000001</v>
      </c>
      <c r="C16" s="36" t="s">
        <v>215</v>
      </c>
      <c r="D16" s="30"/>
      <c r="E16" s="50"/>
      <c r="F16" s="30"/>
      <c r="G16" s="30"/>
      <c r="H16" s="30"/>
      <c r="I16" s="30"/>
      <c r="J16" s="30"/>
      <c r="K16" s="5"/>
      <c r="L16" s="46"/>
      <c r="M16" s="5"/>
      <c r="N16" s="5"/>
    </row>
    <row r="17" spans="1:14" ht="15">
      <c r="A17" s="37" t="s">
        <v>282</v>
      </c>
      <c r="B17" s="39">
        <f>J22</f>
        <v>424</v>
      </c>
      <c r="C17" s="36" t="s">
        <v>215</v>
      </c>
      <c r="D17" s="30"/>
      <c r="E17" s="51"/>
      <c r="F17" s="5"/>
      <c r="G17" s="5"/>
      <c r="H17" s="39">
        <f>ИГН!B14</f>
        <v>378.5000000000001</v>
      </c>
      <c r="I17" s="36" t="s">
        <v>215</v>
      </c>
      <c r="J17" s="5"/>
      <c r="K17" s="5"/>
      <c r="L17" s="46"/>
      <c r="M17" s="5"/>
      <c r="N17" s="5"/>
    </row>
    <row r="18" spans="1:14" ht="15">
      <c r="A18" s="37" t="s">
        <v>209</v>
      </c>
      <c r="B18" s="39">
        <f>H17</f>
        <v>378.5000000000001</v>
      </c>
      <c r="C18" s="36" t="s">
        <v>215</v>
      </c>
      <c r="D18" s="30"/>
      <c r="E18" s="50"/>
      <c r="F18" s="5"/>
      <c r="G18" s="5"/>
      <c r="H18" s="30"/>
      <c r="I18" s="5"/>
      <c r="J18" s="5"/>
      <c r="K18" s="5"/>
      <c r="L18" s="46"/>
      <c r="M18" s="5"/>
      <c r="N18" s="5"/>
    </row>
    <row r="19" spans="1:14" ht="15.75">
      <c r="A19" s="98"/>
      <c r="B19" s="5"/>
      <c r="C19" s="36"/>
      <c r="D19" s="91"/>
      <c r="E19" s="92"/>
      <c r="F19" s="93"/>
      <c r="G19" s="93"/>
      <c r="H19" s="94"/>
      <c r="I19" s="49"/>
      <c r="J19" s="44"/>
      <c r="K19" s="93"/>
      <c r="L19" s="95"/>
      <c r="M19" s="5"/>
      <c r="N19" s="5"/>
    </row>
    <row r="20" spans="1:14" ht="15">
      <c r="A20" s="37" t="s">
        <v>283</v>
      </c>
      <c r="B20" s="39">
        <f>SUM(B16:B18)</f>
        <v>1341.4</v>
      </c>
      <c r="C20" s="36" t="s">
        <v>215</v>
      </c>
      <c r="D20" s="30"/>
      <c r="E20" s="50"/>
      <c r="F20" s="96" t="s">
        <v>284</v>
      </c>
      <c r="G20" s="89"/>
      <c r="H20" s="30"/>
      <c r="I20" s="50"/>
      <c r="J20" s="96" t="s">
        <v>285</v>
      </c>
      <c r="K20" s="89"/>
      <c r="L20" s="46"/>
      <c r="M20" s="5"/>
      <c r="N20" s="5"/>
    </row>
    <row r="21" spans="1:14" ht="12.75">
      <c r="A21" s="5"/>
      <c r="B21" s="5"/>
      <c r="C21" s="5"/>
      <c r="D21" s="5"/>
      <c r="E21" s="51"/>
      <c r="F21" s="30"/>
      <c r="G21" s="30"/>
      <c r="H21" s="30"/>
      <c r="I21" s="51"/>
      <c r="J21" s="5"/>
      <c r="K21" s="5"/>
      <c r="L21" s="46"/>
      <c r="M21" s="5"/>
      <c r="N21" s="5"/>
    </row>
    <row r="22" spans="1:14" ht="15">
      <c r="A22" s="5"/>
      <c r="B22" s="5"/>
      <c r="C22" s="5"/>
      <c r="D22" s="5"/>
      <c r="E22" s="51"/>
      <c r="F22" s="35">
        <f>ИГН!B12</f>
        <v>538.9000000000001</v>
      </c>
      <c r="G22" s="34" t="s">
        <v>215</v>
      </c>
      <c r="H22" s="5"/>
      <c r="I22" s="51"/>
      <c r="J22" s="35">
        <f>ИГН!B13</f>
        <v>424</v>
      </c>
      <c r="K22" s="34" t="s">
        <v>215</v>
      </c>
      <c r="L22" s="46"/>
      <c r="M22" s="5"/>
      <c r="N22" s="5"/>
    </row>
    <row r="23" spans="1:14" ht="12.75">
      <c r="A23" s="5"/>
      <c r="B23" s="5"/>
      <c r="C23" s="5"/>
      <c r="D23" s="5"/>
      <c r="E23" s="51"/>
      <c r="F23" s="5"/>
      <c r="G23" s="5"/>
      <c r="H23" s="5"/>
      <c r="I23" s="51"/>
      <c r="J23" s="5"/>
      <c r="K23" s="5"/>
      <c r="L23" s="46"/>
      <c r="M23" s="5"/>
      <c r="N23" s="5"/>
    </row>
    <row r="24" spans="1:14" ht="12.75">
      <c r="A24" s="5"/>
      <c r="B24" s="5"/>
      <c r="C24" s="5"/>
      <c r="D24" s="5"/>
      <c r="E24" s="52"/>
      <c r="F24" s="47"/>
      <c r="G24" s="47"/>
      <c r="H24" s="47"/>
      <c r="I24" s="52"/>
      <c r="J24" s="47"/>
      <c r="K24" s="47"/>
      <c r="L24" s="48"/>
      <c r="M24" s="5"/>
      <c r="N24" s="5"/>
    </row>
    <row r="25" spans="1:14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5">
      <c r="A26" s="5"/>
      <c r="B26" s="5"/>
      <c r="C26" s="5"/>
      <c r="D26" s="37" t="s">
        <v>80</v>
      </c>
      <c r="E26" s="38">
        <f>ИГН!F20</f>
        <v>3.461115237508897</v>
      </c>
      <c r="F26" s="34" t="s">
        <v>78</v>
      </c>
      <c r="G26" s="5"/>
      <c r="H26" s="5"/>
      <c r="I26" s="5"/>
      <c r="J26" s="37" t="s">
        <v>77</v>
      </c>
      <c r="K26" s="38">
        <f>ИГН!F21</f>
        <v>3.804104221348836</v>
      </c>
      <c r="L26" s="34" t="s">
        <v>78</v>
      </c>
      <c r="M26" s="5"/>
      <c r="N26" s="5"/>
    </row>
    <row r="27" spans="1:14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4" ht="15.75">
      <c r="B29" s="101">
        <f>Груз!B3</f>
        <v>37393</v>
      </c>
      <c r="D29" s="5"/>
      <c r="E29" s="27" t="s">
        <v>286</v>
      </c>
      <c r="F29" s="5"/>
      <c r="G29" s="5"/>
      <c r="H29" s="5"/>
      <c r="I29" s="5"/>
      <c r="J29" s="5"/>
      <c r="K29" s="27" t="s">
        <v>253</v>
      </c>
      <c r="L29" s="5"/>
      <c r="M29" s="5"/>
      <c r="N29" s="5"/>
    </row>
    <row r="30" spans="1:14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</sheetData>
  <printOptions horizontalCentered="1" verticalCentered="1"/>
  <pageMargins left="0.1968503937007874" right="0.1968503937007874" top="0.1968503937007874" bottom="0.1968503937007874" header="0" footer="0"/>
  <pageSetup horizontalDpi="240" verticalDpi="24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="75" zoomScaleNormal="75" workbookViewId="0" topLeftCell="B1">
      <selection activeCell="K31" sqref="K31"/>
    </sheetView>
  </sheetViews>
  <sheetFormatPr defaultColWidth="9.00390625" defaultRowHeight="12.75"/>
  <cols>
    <col min="1" max="1" width="12.875" style="0" customWidth="1"/>
  </cols>
  <sheetData>
    <row r="1" spans="1:14" ht="15.75">
      <c r="A1" s="27" t="s">
        <v>305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75">
      <c r="A2" s="2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20.25">
      <c r="A3" s="27"/>
      <c r="B3" s="5"/>
      <c r="C3" s="5"/>
      <c r="D3" s="5"/>
      <c r="E3" s="5"/>
      <c r="F3" s="41" t="s">
        <v>306</v>
      </c>
      <c r="G3" s="5"/>
      <c r="H3" s="5"/>
      <c r="I3" s="5"/>
      <c r="J3" s="5"/>
      <c r="K3" s="5"/>
      <c r="L3" s="5"/>
      <c r="M3" s="5"/>
      <c r="N3" s="5"/>
    </row>
    <row r="4" spans="2:14" ht="12.75">
      <c r="B4" s="5"/>
      <c r="C4" s="5"/>
      <c r="D4" s="5"/>
      <c r="E4" s="5"/>
      <c r="G4" s="5"/>
      <c r="H4" s="5"/>
      <c r="I4" s="5"/>
      <c r="J4" s="5"/>
      <c r="K4" s="5"/>
      <c r="L4" s="5"/>
      <c r="M4" s="5"/>
      <c r="N4" s="5"/>
    </row>
    <row r="5" spans="1:14" ht="12.75">
      <c r="A5" s="5"/>
      <c r="K5" s="32"/>
      <c r="L5" s="32"/>
      <c r="M5" s="5"/>
      <c r="N5" s="5"/>
    </row>
    <row r="6" spans="1:14" ht="15.75">
      <c r="A6" s="5"/>
      <c r="B6" s="27" t="s">
        <v>307</v>
      </c>
      <c r="C6" s="32"/>
      <c r="D6" s="32"/>
      <c r="E6" s="32"/>
      <c r="F6" s="32"/>
      <c r="G6" s="32"/>
      <c r="K6" s="99" t="s">
        <v>308</v>
      </c>
      <c r="L6" s="32"/>
      <c r="M6" s="5"/>
      <c r="N6" s="5"/>
    </row>
    <row r="7" spans="1:14" ht="12.75">
      <c r="A7" s="5"/>
      <c r="K7" s="32"/>
      <c r="L7" s="32"/>
      <c r="M7" s="5"/>
      <c r="N7" s="5"/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5.75">
      <c r="A9" s="5"/>
      <c r="B9" s="27" t="s">
        <v>309</v>
      </c>
      <c r="C9" s="32"/>
      <c r="D9" s="32"/>
      <c r="E9" s="32"/>
      <c r="F9" s="32"/>
      <c r="G9" s="32"/>
      <c r="K9" s="99" t="s">
        <v>310</v>
      </c>
      <c r="L9" s="5"/>
      <c r="M9" s="5"/>
      <c r="N9" s="5"/>
    </row>
    <row r="10" spans="1:14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>
      <c r="A11" s="5"/>
      <c r="B11" s="5"/>
      <c r="C11" s="5"/>
      <c r="D11" s="30"/>
      <c r="E11" s="30"/>
      <c r="F11" s="30"/>
      <c r="G11" s="30"/>
      <c r="H11" s="30"/>
      <c r="I11" s="30"/>
      <c r="J11" s="30"/>
      <c r="K11" s="5"/>
      <c r="L11" s="5"/>
      <c r="M11" s="5"/>
      <c r="N11" s="5"/>
    </row>
    <row r="12" spans="1:14" ht="15">
      <c r="A12" s="5"/>
      <c r="B12" s="5"/>
      <c r="C12" s="5"/>
      <c r="D12" s="30"/>
      <c r="E12" s="30"/>
      <c r="F12" s="5"/>
      <c r="G12" s="33"/>
      <c r="H12" s="34"/>
      <c r="I12" s="34"/>
      <c r="J12" s="30"/>
      <c r="K12" s="5"/>
      <c r="L12" s="5"/>
      <c r="M12" s="5"/>
      <c r="N12" s="5"/>
    </row>
    <row r="13" spans="1:14" ht="15">
      <c r="A13" s="5"/>
      <c r="B13" s="5"/>
      <c r="C13" s="5"/>
      <c r="D13" s="30"/>
      <c r="E13" s="30"/>
      <c r="F13" s="30"/>
      <c r="G13" s="5"/>
      <c r="H13" s="35"/>
      <c r="I13" s="34"/>
      <c r="J13" s="30"/>
      <c r="K13" s="5"/>
      <c r="L13" s="5"/>
      <c r="M13" s="5"/>
      <c r="N13" s="5"/>
    </row>
    <row r="14" spans="1:14" ht="12.75">
      <c r="A14" s="5"/>
      <c r="B14" s="5"/>
      <c r="C14" s="5"/>
      <c r="D14" s="30"/>
      <c r="E14" s="49"/>
      <c r="F14" s="43"/>
      <c r="G14" s="43"/>
      <c r="H14" s="43"/>
      <c r="I14" s="43"/>
      <c r="J14" s="43"/>
      <c r="K14" s="44"/>
      <c r="L14" s="45"/>
      <c r="M14" s="5"/>
      <c r="N14" s="5"/>
    </row>
    <row r="15" spans="1:14" ht="15">
      <c r="A15" s="5"/>
      <c r="B15" s="5"/>
      <c r="C15" s="5"/>
      <c r="D15" s="30"/>
      <c r="E15" s="50"/>
      <c r="G15" s="32"/>
      <c r="H15" s="96" t="s">
        <v>311</v>
      </c>
      <c r="I15" s="97"/>
      <c r="J15" s="5"/>
      <c r="L15" s="46"/>
      <c r="M15" s="5"/>
      <c r="N15" s="5"/>
    </row>
    <row r="16" spans="1:14" ht="15">
      <c r="A16" s="37" t="s">
        <v>312</v>
      </c>
      <c r="B16" s="39">
        <f>F22</f>
        <v>538.9000000000001</v>
      </c>
      <c r="C16" s="36" t="s">
        <v>313</v>
      </c>
      <c r="D16" s="30"/>
      <c r="E16" s="50"/>
      <c r="F16" s="30"/>
      <c r="G16" s="30"/>
      <c r="H16" s="30"/>
      <c r="I16" s="30"/>
      <c r="J16" s="30"/>
      <c r="K16" s="5"/>
      <c r="L16" s="46"/>
      <c r="M16" s="5"/>
      <c r="N16" s="5"/>
    </row>
    <row r="17" spans="1:14" ht="15">
      <c r="A17" s="37" t="s">
        <v>314</v>
      </c>
      <c r="B17" s="39">
        <f>J22</f>
        <v>424</v>
      </c>
      <c r="C17" s="36" t="s">
        <v>313</v>
      </c>
      <c r="D17" s="30"/>
      <c r="E17" s="51"/>
      <c r="F17" s="5"/>
      <c r="G17" s="5"/>
      <c r="H17" s="39">
        <f>B18</f>
        <v>0</v>
      </c>
      <c r="I17" s="36" t="s">
        <v>313</v>
      </c>
      <c r="J17" s="5"/>
      <c r="K17" s="5"/>
      <c r="L17" s="46"/>
      <c r="M17" s="5"/>
      <c r="N17" s="5"/>
    </row>
    <row r="18" spans="1:14" ht="15">
      <c r="A18" s="37" t="s">
        <v>311</v>
      </c>
      <c r="B18" s="39">
        <f>H13</f>
        <v>0</v>
      </c>
      <c r="C18" s="36" t="s">
        <v>313</v>
      </c>
      <c r="D18" s="30"/>
      <c r="E18" s="50"/>
      <c r="F18" s="5"/>
      <c r="G18" s="5"/>
      <c r="H18" s="30"/>
      <c r="I18" s="5"/>
      <c r="J18" s="5"/>
      <c r="K18" s="5"/>
      <c r="L18" s="46"/>
      <c r="M18" s="5"/>
      <c r="N18" s="5"/>
    </row>
    <row r="19" spans="1:14" ht="15.75">
      <c r="A19" s="98"/>
      <c r="B19" s="5"/>
      <c r="C19" s="36"/>
      <c r="D19" s="91"/>
      <c r="E19" s="92"/>
      <c r="F19" s="93"/>
      <c r="G19" s="93"/>
      <c r="H19" s="94"/>
      <c r="I19" s="49"/>
      <c r="J19" s="44"/>
      <c r="K19" s="93"/>
      <c r="L19" s="95"/>
      <c r="M19" s="5"/>
      <c r="N19" s="5"/>
    </row>
    <row r="20" spans="1:14" ht="15">
      <c r="A20" s="37" t="s">
        <v>315</v>
      </c>
      <c r="B20" s="39">
        <f>SUM(B16:B18)</f>
        <v>962.9000000000001</v>
      </c>
      <c r="C20" s="36" t="s">
        <v>313</v>
      </c>
      <c r="D20" s="30"/>
      <c r="E20" s="50"/>
      <c r="F20" s="96" t="s">
        <v>312</v>
      </c>
      <c r="G20" s="89"/>
      <c r="H20" s="30"/>
      <c r="I20" s="50"/>
      <c r="J20" s="96" t="s">
        <v>314</v>
      </c>
      <c r="K20" s="89"/>
      <c r="L20" s="46"/>
      <c r="M20" s="5"/>
      <c r="N20" s="5"/>
    </row>
    <row r="21" spans="1:14" ht="12.75">
      <c r="A21" s="5"/>
      <c r="B21" s="5"/>
      <c r="C21" s="5"/>
      <c r="D21" s="5"/>
      <c r="E21" s="51"/>
      <c r="F21" s="30"/>
      <c r="G21" s="30"/>
      <c r="H21" s="30"/>
      <c r="I21" s="51"/>
      <c r="J21" s="5"/>
      <c r="K21" s="5"/>
      <c r="L21" s="46"/>
      <c r="M21" s="5"/>
      <c r="N21" s="5"/>
    </row>
    <row r="22" spans="1:14" ht="15">
      <c r="A22" s="5"/>
      <c r="B22" s="5"/>
      <c r="C22" s="5"/>
      <c r="D22" s="5"/>
      <c r="E22" s="51"/>
      <c r="F22" s="35">
        <f>ИГН!B12</f>
        <v>538.9000000000001</v>
      </c>
      <c r="G22" s="34" t="s">
        <v>313</v>
      </c>
      <c r="H22" s="5"/>
      <c r="I22" s="51"/>
      <c r="J22" s="35">
        <f>ИГН!B13</f>
        <v>424</v>
      </c>
      <c r="K22" s="34" t="s">
        <v>313</v>
      </c>
      <c r="L22" s="46"/>
      <c r="M22" s="5"/>
      <c r="N22" s="5"/>
    </row>
    <row r="23" spans="1:14" ht="12.75">
      <c r="A23" s="5"/>
      <c r="B23" s="5"/>
      <c r="C23" s="5"/>
      <c r="D23" s="5"/>
      <c r="E23" s="51"/>
      <c r="F23" s="5"/>
      <c r="G23" s="5"/>
      <c r="H23" s="5"/>
      <c r="I23" s="51"/>
      <c r="J23" s="5"/>
      <c r="K23" s="5"/>
      <c r="L23" s="46"/>
      <c r="M23" s="5"/>
      <c r="N23" s="5"/>
    </row>
    <row r="24" spans="1:14" ht="12.75">
      <c r="A24" s="5"/>
      <c r="B24" s="5"/>
      <c r="C24" s="5"/>
      <c r="D24" s="5"/>
      <c r="E24" s="52"/>
      <c r="F24" s="47"/>
      <c r="G24" s="47"/>
      <c r="H24" s="47"/>
      <c r="I24" s="52"/>
      <c r="J24" s="47"/>
      <c r="K24" s="47"/>
      <c r="L24" s="48"/>
      <c r="M24" s="5"/>
      <c r="N24" s="5"/>
    </row>
    <row r="25" spans="1:14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5">
      <c r="A26" s="5"/>
      <c r="B26" s="5"/>
      <c r="C26" s="5"/>
      <c r="D26" s="37" t="s">
        <v>316</v>
      </c>
      <c r="E26" s="38">
        <f>ИГН!F20</f>
        <v>3.461115237508897</v>
      </c>
      <c r="F26" s="34" t="s">
        <v>78</v>
      </c>
      <c r="G26" s="5"/>
      <c r="H26" s="5"/>
      <c r="I26" s="5"/>
      <c r="J26" s="37" t="s">
        <v>317</v>
      </c>
      <c r="K26" s="38">
        <f>ИГН!F21</f>
        <v>3.804104221348836</v>
      </c>
      <c r="L26" s="34" t="s">
        <v>78</v>
      </c>
      <c r="M26" s="5"/>
      <c r="N26" s="5"/>
    </row>
    <row r="27" spans="1:14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3:14" ht="12.75">
      <c r="M29" s="5"/>
      <c r="N29" s="5"/>
    </row>
    <row r="30" spans="1:14" ht="15.75">
      <c r="A30" s="101">
        <f>Груз!B3</f>
        <v>37393</v>
      </c>
      <c r="B30" s="40"/>
      <c r="C30" s="5"/>
      <c r="D30" s="5"/>
      <c r="E30" s="27" t="s">
        <v>318</v>
      </c>
      <c r="F30" s="5"/>
      <c r="G30" s="5"/>
      <c r="H30" s="5"/>
      <c r="I30" s="5"/>
      <c r="J30" s="5"/>
      <c r="K30" s="27" t="s">
        <v>319</v>
      </c>
      <c r="L30" s="5"/>
      <c r="M30" s="5"/>
      <c r="N30" s="5"/>
    </row>
    <row r="31" spans="1:14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</sheetData>
  <printOptions horizontalCentered="1" verticalCentered="1"/>
  <pageMargins left="0" right="0.3937007874015748" top="0.7874015748031497" bottom="0.7874015748031497" header="0" footer="0"/>
  <pageSetup blackAndWhite="1" horizontalDpi="240" verticalDpi="24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7"/>
  <sheetViews>
    <sheetView workbookViewId="0" topLeftCell="A1">
      <selection activeCell="H6" sqref="H6"/>
    </sheetView>
  </sheetViews>
  <sheetFormatPr defaultColWidth="9.00390625" defaultRowHeight="12.75"/>
  <cols>
    <col min="1" max="1" width="6.125" style="335" customWidth="1"/>
    <col min="2" max="2" width="8.00390625" style="342" customWidth="1"/>
    <col min="6" max="6" width="6.125" style="0" customWidth="1"/>
    <col min="7" max="7" width="8.00390625" style="342" customWidth="1"/>
  </cols>
  <sheetData>
    <row r="1" spans="1:8" ht="12.75">
      <c r="A1" s="337" t="s">
        <v>293</v>
      </c>
      <c r="B1" s="370">
        <v>2712402</v>
      </c>
      <c r="C1" s="338">
        <v>2250</v>
      </c>
      <c r="F1" s="337" t="s">
        <v>292</v>
      </c>
      <c r="G1" s="370">
        <v>1947661</v>
      </c>
      <c r="H1" s="338">
        <v>2275</v>
      </c>
    </row>
    <row r="2" spans="1:8" ht="12.75">
      <c r="A2" s="337" t="s">
        <v>295</v>
      </c>
      <c r="B2" s="370">
        <v>8109061</v>
      </c>
      <c r="C2" s="338">
        <v>2200</v>
      </c>
      <c r="F2" s="337" t="s">
        <v>292</v>
      </c>
      <c r="G2" s="370">
        <v>2469910</v>
      </c>
      <c r="H2" s="338">
        <v>2300</v>
      </c>
    </row>
    <row r="3" spans="1:8" ht="12.75">
      <c r="A3" s="337" t="s">
        <v>296</v>
      </c>
      <c r="B3" s="370">
        <v>6966780</v>
      </c>
      <c r="C3" s="338">
        <v>2220</v>
      </c>
      <c r="F3" s="337" t="s">
        <v>292</v>
      </c>
      <c r="G3" s="370">
        <v>2170555</v>
      </c>
      <c r="H3" s="338">
        <v>2280</v>
      </c>
    </row>
    <row r="4" spans="1:8" ht="12.75">
      <c r="A4" s="337" t="s">
        <v>293</v>
      </c>
      <c r="B4" s="370">
        <v>2145485</v>
      </c>
      <c r="C4" s="338">
        <v>2300</v>
      </c>
      <c r="F4" s="337" t="s">
        <v>297</v>
      </c>
      <c r="G4" s="370">
        <v>4991067</v>
      </c>
      <c r="H4" s="338">
        <v>4550</v>
      </c>
    </row>
    <row r="5" spans="1:8" ht="12.75">
      <c r="A5" s="337" t="s">
        <v>293</v>
      </c>
      <c r="B5" s="370">
        <v>2024190</v>
      </c>
      <c r="C5" s="338">
        <v>2300</v>
      </c>
      <c r="F5" s="337" t="s">
        <v>297</v>
      </c>
      <c r="G5" s="370">
        <v>4995817</v>
      </c>
      <c r="H5" s="338">
        <v>4550</v>
      </c>
    </row>
    <row r="6" spans="1:8" ht="12.75">
      <c r="A6" s="337" t="s">
        <v>294</v>
      </c>
      <c r="B6" s="370">
        <v>2463562</v>
      </c>
      <c r="C6" s="338">
        <v>2320</v>
      </c>
      <c r="F6" s="337" t="s">
        <v>298</v>
      </c>
      <c r="G6" s="370">
        <v>4132268</v>
      </c>
      <c r="H6" s="338">
        <v>2300</v>
      </c>
    </row>
    <row r="7" spans="1:8" ht="12.75">
      <c r="A7" s="337" t="s">
        <v>295</v>
      </c>
      <c r="B7" s="370">
        <v>8159530</v>
      </c>
      <c r="C7" s="338">
        <v>2330</v>
      </c>
      <c r="F7" s="337" t="s">
        <v>300</v>
      </c>
      <c r="G7" s="370">
        <v>4938992</v>
      </c>
      <c r="H7" s="338">
        <v>2250</v>
      </c>
    </row>
    <row r="8" spans="1:8" ht="12.75">
      <c r="A8" s="337" t="s">
        <v>294</v>
      </c>
      <c r="B8" s="370">
        <v>2494814</v>
      </c>
      <c r="C8" s="338">
        <v>2180</v>
      </c>
      <c r="F8" s="337" t="s">
        <v>303</v>
      </c>
      <c r="G8" s="370">
        <v>4927633</v>
      </c>
      <c r="H8" s="338">
        <f>19083+3660</f>
        <v>22743</v>
      </c>
    </row>
    <row r="9" spans="1:8" ht="12.75">
      <c r="A9" s="337" t="s">
        <v>297</v>
      </c>
      <c r="B9" s="370">
        <v>4807150</v>
      </c>
      <c r="C9" s="338">
        <v>2250</v>
      </c>
      <c r="F9" s="337" t="s">
        <v>292</v>
      </c>
      <c r="G9" s="370">
        <v>2832266</v>
      </c>
      <c r="H9" s="338">
        <f>21157+2300</f>
        <v>23457</v>
      </c>
    </row>
    <row r="10" spans="1:8" ht="12.75">
      <c r="A10" s="337" t="s">
        <v>299</v>
      </c>
      <c r="B10" s="370">
        <v>2100139</v>
      </c>
      <c r="C10" s="338">
        <v>2130</v>
      </c>
      <c r="F10" s="337" t="s">
        <v>292</v>
      </c>
      <c r="G10" s="370">
        <v>2201194</v>
      </c>
      <c r="H10" s="338">
        <f>21050+2300</f>
        <v>23350</v>
      </c>
    </row>
    <row r="11" spans="1:8" ht="12.75">
      <c r="A11" s="337" t="s">
        <v>299</v>
      </c>
      <c r="B11" s="370">
        <v>2100587</v>
      </c>
      <c r="C11" s="338">
        <v>2130</v>
      </c>
      <c r="F11" s="337" t="s">
        <v>297</v>
      </c>
      <c r="G11" s="370">
        <v>2433744</v>
      </c>
      <c r="H11" s="338">
        <f>21214+2300</f>
        <v>23514</v>
      </c>
    </row>
    <row r="12" spans="1:8" ht="12.75">
      <c r="A12" s="337" t="s">
        <v>299</v>
      </c>
      <c r="B12" s="370">
        <v>2100798</v>
      </c>
      <c r="C12" s="338">
        <v>2250</v>
      </c>
      <c r="F12" s="337" t="s">
        <v>292</v>
      </c>
      <c r="G12" s="370">
        <v>1117710</v>
      </c>
      <c r="H12" s="338">
        <v>2300</v>
      </c>
    </row>
    <row r="13" spans="1:8" ht="12.75">
      <c r="A13" s="337" t="s">
        <v>293</v>
      </c>
      <c r="B13" s="370">
        <v>2984530</v>
      </c>
      <c r="C13" s="338">
        <v>2220</v>
      </c>
      <c r="F13" s="337" t="s">
        <v>292</v>
      </c>
      <c r="G13" s="370">
        <v>2809862</v>
      </c>
      <c r="H13" s="338">
        <v>2300</v>
      </c>
    </row>
    <row r="14" spans="1:8" ht="12.75">
      <c r="A14" s="337" t="s">
        <v>293</v>
      </c>
      <c r="B14" s="370">
        <v>2055680</v>
      </c>
      <c r="C14" s="338">
        <v>2300</v>
      </c>
      <c r="F14" s="337" t="s">
        <v>292</v>
      </c>
      <c r="G14" s="370">
        <v>2015939</v>
      </c>
      <c r="H14" s="338">
        <v>2300</v>
      </c>
    </row>
    <row r="15" spans="1:8" ht="12.75">
      <c r="A15" s="337" t="s">
        <v>295</v>
      </c>
      <c r="B15" s="370">
        <v>6948288</v>
      </c>
      <c r="C15" s="338">
        <v>2200</v>
      </c>
      <c r="F15" s="337" t="s">
        <v>292</v>
      </c>
      <c r="G15" s="370">
        <v>2366281</v>
      </c>
      <c r="H15" s="338">
        <v>2300</v>
      </c>
    </row>
    <row r="16" spans="1:8" ht="12.75">
      <c r="A16" s="337" t="s">
        <v>294</v>
      </c>
      <c r="B16" s="370">
        <v>2315061</v>
      </c>
      <c r="C16" s="338">
        <v>2220</v>
      </c>
      <c r="F16" s="337" t="s">
        <v>292</v>
      </c>
      <c r="G16" s="370">
        <v>2945560</v>
      </c>
      <c r="H16" s="338">
        <v>2230</v>
      </c>
    </row>
    <row r="17" spans="1:8" ht="12.75">
      <c r="A17" s="337" t="s">
        <v>293</v>
      </c>
      <c r="B17" s="370">
        <v>2383837</v>
      </c>
      <c r="C17" s="338">
        <v>2180</v>
      </c>
      <c r="F17" s="337" t="s">
        <v>292</v>
      </c>
      <c r="G17" s="370">
        <v>2060007</v>
      </c>
      <c r="H17" s="338">
        <v>2300</v>
      </c>
    </row>
    <row r="18" spans="1:8" ht="12.75">
      <c r="A18" s="337" t="s">
        <v>293</v>
      </c>
      <c r="B18" s="370">
        <v>3428643</v>
      </c>
      <c r="C18" s="338">
        <v>2300</v>
      </c>
      <c r="F18" s="337" t="s">
        <v>292</v>
      </c>
      <c r="G18" s="370">
        <v>2616610</v>
      </c>
      <c r="H18" s="338">
        <v>2230</v>
      </c>
    </row>
    <row r="19" spans="1:8" ht="12.75">
      <c r="A19" s="337" t="s">
        <v>295</v>
      </c>
      <c r="B19" s="370">
        <v>8137280</v>
      </c>
      <c r="C19" s="338">
        <v>2300</v>
      </c>
      <c r="F19" s="337" t="s">
        <v>292</v>
      </c>
      <c r="G19" s="370">
        <v>2963184</v>
      </c>
      <c r="H19" s="338">
        <v>2320</v>
      </c>
    </row>
    <row r="20" spans="1:8" ht="12.75">
      <c r="A20" s="337" t="s">
        <v>294</v>
      </c>
      <c r="B20" s="370">
        <v>3437887</v>
      </c>
      <c r="C20" s="338">
        <v>2230</v>
      </c>
      <c r="F20" s="337" t="s">
        <v>298</v>
      </c>
      <c r="G20" s="370">
        <v>2702211</v>
      </c>
      <c r="H20" s="338">
        <v>2300</v>
      </c>
    </row>
    <row r="21" spans="1:8" ht="12.75">
      <c r="A21" s="337" t="s">
        <v>297</v>
      </c>
      <c r="B21" s="370">
        <v>6053300</v>
      </c>
      <c r="C21" s="338">
        <v>2200</v>
      </c>
      <c r="F21" s="337" t="s">
        <v>300</v>
      </c>
      <c r="G21" s="370">
        <v>4770825</v>
      </c>
      <c r="H21" s="338">
        <v>2300</v>
      </c>
    </row>
    <row r="22" spans="1:8" ht="12.75">
      <c r="A22" s="337" t="s">
        <v>297</v>
      </c>
      <c r="B22" s="370">
        <v>6053038</v>
      </c>
      <c r="C22" s="338">
        <v>2260</v>
      </c>
      <c r="F22" s="337" t="s">
        <v>304</v>
      </c>
      <c r="G22" s="370">
        <v>2960040</v>
      </c>
      <c r="H22" s="338">
        <f>20274+2460</f>
        <v>22734</v>
      </c>
    </row>
    <row r="23" spans="1:8" ht="12.75">
      <c r="A23" s="337" t="s">
        <v>297</v>
      </c>
      <c r="B23" s="370">
        <v>2227158</v>
      </c>
      <c r="C23" s="338">
        <v>2270</v>
      </c>
      <c r="F23" s="337" t="s">
        <v>304</v>
      </c>
      <c r="G23" s="370">
        <v>3153720</v>
      </c>
      <c r="H23" s="338">
        <f>24996+2300</f>
        <v>27296</v>
      </c>
    </row>
    <row r="24" spans="1:8" ht="12.75">
      <c r="A24" s="337" t="s">
        <v>302</v>
      </c>
      <c r="B24" s="370">
        <v>2100111</v>
      </c>
      <c r="C24" s="338">
        <v>3075</v>
      </c>
      <c r="F24" s="337" t="s">
        <v>299</v>
      </c>
      <c r="G24" s="370">
        <v>2095095</v>
      </c>
      <c r="H24" s="338">
        <f>1634+610+460+2450</f>
        <v>5154</v>
      </c>
    </row>
    <row r="25" spans="1:8" ht="12.75">
      <c r="A25" s="337" t="s">
        <v>292</v>
      </c>
      <c r="B25" s="370">
        <v>2889662</v>
      </c>
      <c r="C25" s="338">
        <v>2285</v>
      </c>
      <c r="F25" s="337" t="s">
        <v>292</v>
      </c>
      <c r="G25" s="370">
        <v>2778714</v>
      </c>
      <c r="H25" s="338">
        <v>2290</v>
      </c>
    </row>
    <row r="26" spans="1:8" ht="12.75">
      <c r="A26" s="337" t="s">
        <v>294</v>
      </c>
      <c r="B26" s="370">
        <v>2405083</v>
      </c>
      <c r="C26" s="338">
        <v>2250</v>
      </c>
      <c r="F26" s="337" t="s">
        <v>292</v>
      </c>
      <c r="G26" s="370">
        <v>2510969</v>
      </c>
      <c r="H26" s="338">
        <v>2300</v>
      </c>
    </row>
    <row r="27" spans="1:8" ht="12.75">
      <c r="A27" s="337" t="s">
        <v>293</v>
      </c>
      <c r="B27" s="370">
        <v>3579980</v>
      </c>
      <c r="C27" s="338">
        <v>2300</v>
      </c>
      <c r="F27" s="337" t="s">
        <v>292</v>
      </c>
      <c r="G27" s="370">
        <v>1152346</v>
      </c>
      <c r="H27" s="338">
        <v>2250</v>
      </c>
    </row>
    <row r="28" spans="1:8" ht="12.75">
      <c r="A28" s="337" t="s">
        <v>293</v>
      </c>
      <c r="B28" s="370">
        <v>2590346</v>
      </c>
      <c r="C28" s="338">
        <v>2270</v>
      </c>
      <c r="F28" s="337" t="s">
        <v>292</v>
      </c>
      <c r="G28" s="370">
        <v>2179064</v>
      </c>
      <c r="H28" s="338">
        <v>2280</v>
      </c>
    </row>
    <row r="29" spans="1:8" ht="12.75">
      <c r="A29" s="337" t="s">
        <v>298</v>
      </c>
      <c r="B29" s="370">
        <v>3005546</v>
      </c>
      <c r="C29" s="338">
        <v>2240</v>
      </c>
      <c r="F29" s="337" t="s">
        <v>292</v>
      </c>
      <c r="G29" s="370">
        <v>2579184</v>
      </c>
      <c r="H29" s="338">
        <v>2230</v>
      </c>
    </row>
    <row r="30" spans="1:8" ht="12.75">
      <c r="A30" s="337" t="s">
        <v>295</v>
      </c>
      <c r="B30" s="370">
        <v>6929760</v>
      </c>
      <c r="C30" s="338">
        <v>2240</v>
      </c>
      <c r="F30" s="337" t="s">
        <v>292</v>
      </c>
      <c r="G30" s="370">
        <v>2227250</v>
      </c>
      <c r="H30" s="339">
        <v>2350</v>
      </c>
    </row>
    <row r="31" spans="1:8" ht="12.75">
      <c r="A31" s="337" t="s">
        <v>294</v>
      </c>
      <c r="B31" s="370">
        <v>2391565</v>
      </c>
      <c r="C31" s="338">
        <v>2320</v>
      </c>
      <c r="F31" s="337" t="s">
        <v>292</v>
      </c>
      <c r="G31" s="370">
        <v>2733480</v>
      </c>
      <c r="H31" s="338">
        <v>2250</v>
      </c>
    </row>
    <row r="32" spans="1:8" ht="12.75">
      <c r="A32" s="337" t="s">
        <v>295</v>
      </c>
      <c r="B32" s="370">
        <v>8230772</v>
      </c>
      <c r="C32" s="338">
        <v>2250</v>
      </c>
      <c r="F32" s="337" t="s">
        <v>292</v>
      </c>
      <c r="G32" s="370">
        <v>2964600</v>
      </c>
      <c r="H32" s="338">
        <v>2320</v>
      </c>
    </row>
    <row r="33" spans="1:8" ht="12.75">
      <c r="A33" s="340" t="s">
        <v>302</v>
      </c>
      <c r="B33" s="371">
        <v>2320013</v>
      </c>
      <c r="C33" s="338">
        <v>3380</v>
      </c>
      <c r="F33" s="337" t="s">
        <v>298</v>
      </c>
      <c r="G33" s="370">
        <v>3274289</v>
      </c>
      <c r="H33" s="338">
        <v>2200</v>
      </c>
    </row>
    <row r="34" spans="1:8" ht="12.75">
      <c r="A34" s="337" t="s">
        <v>301</v>
      </c>
      <c r="B34" s="370">
        <v>268905</v>
      </c>
      <c r="C34" s="338">
        <v>3440</v>
      </c>
      <c r="F34" s="337" t="s">
        <v>299</v>
      </c>
      <c r="G34" s="370">
        <v>2100463</v>
      </c>
      <c r="H34" s="338">
        <v>2130</v>
      </c>
    </row>
    <row r="35" spans="1:8" ht="12.75">
      <c r="A35" s="337" t="s">
        <v>302</v>
      </c>
      <c r="B35" s="370">
        <v>2560020</v>
      </c>
      <c r="C35" s="338">
        <v>4300</v>
      </c>
      <c r="F35" s="337" t="s">
        <v>297</v>
      </c>
      <c r="G35" s="370">
        <v>3182324</v>
      </c>
      <c r="H35" s="338">
        <v>2300</v>
      </c>
    </row>
    <row r="36" spans="1:8" ht="12.75">
      <c r="A36" s="337" t="s">
        <v>302</v>
      </c>
      <c r="B36" s="370">
        <v>2500020</v>
      </c>
      <c r="C36" s="338">
        <v>4235</v>
      </c>
      <c r="F36" s="337" t="s">
        <v>300</v>
      </c>
      <c r="G36" s="370">
        <v>4785888</v>
      </c>
      <c r="H36" s="338">
        <v>2250</v>
      </c>
    </row>
    <row r="37" spans="1:8" ht="12.75">
      <c r="A37" s="337" t="s">
        <v>292</v>
      </c>
      <c r="B37" s="370">
        <v>2763740</v>
      </c>
      <c r="C37" s="338">
        <v>2300</v>
      </c>
      <c r="F37" s="337" t="s">
        <v>302</v>
      </c>
      <c r="G37" s="370">
        <v>2300038</v>
      </c>
      <c r="H37" s="338">
        <v>4160</v>
      </c>
    </row>
    <row r="38" spans="1:8" ht="12.75">
      <c r="A38" s="337" t="s">
        <v>292</v>
      </c>
      <c r="B38" s="370">
        <v>2002654</v>
      </c>
      <c r="C38" s="338">
        <v>2300</v>
      </c>
      <c r="F38" s="337" t="s">
        <v>302</v>
      </c>
      <c r="G38" s="370">
        <v>2560035</v>
      </c>
      <c r="H38" s="338">
        <v>4355</v>
      </c>
    </row>
    <row r="39" spans="1:8" ht="12.75">
      <c r="A39" s="337" t="s">
        <v>292</v>
      </c>
      <c r="B39" s="370">
        <v>2286294</v>
      </c>
      <c r="C39" s="338">
        <v>2160</v>
      </c>
      <c r="F39" s="337" t="s">
        <v>302</v>
      </c>
      <c r="G39" s="370">
        <v>2320100</v>
      </c>
      <c r="H39" s="338">
        <v>3270</v>
      </c>
    </row>
    <row r="40" spans="1:8" ht="12.75">
      <c r="A40" s="337" t="s">
        <v>292</v>
      </c>
      <c r="B40" s="370">
        <v>2291515</v>
      </c>
      <c r="C40" s="338">
        <v>2230</v>
      </c>
      <c r="F40" s="337" t="s">
        <v>299</v>
      </c>
      <c r="G40" s="370">
        <v>2100801</v>
      </c>
      <c r="H40" s="338">
        <f>21214+2300</f>
        <v>23514</v>
      </c>
    </row>
    <row r="41" spans="1:8" ht="12.75">
      <c r="A41" s="337" t="s">
        <v>297</v>
      </c>
      <c r="B41" s="370">
        <v>3641199</v>
      </c>
      <c r="C41" s="338">
        <v>2300</v>
      </c>
      <c r="F41" s="337" t="s">
        <v>292</v>
      </c>
      <c r="G41" s="370">
        <v>2833112</v>
      </c>
      <c r="H41" s="338">
        <v>2300</v>
      </c>
    </row>
    <row r="42" spans="1:8" ht="12.75">
      <c r="A42" s="337" t="s">
        <v>297</v>
      </c>
      <c r="B42" s="370">
        <v>6050039</v>
      </c>
      <c r="C42" s="338">
        <v>2230</v>
      </c>
      <c r="F42" s="337" t="s">
        <v>292</v>
      </c>
      <c r="G42" s="370">
        <v>1947044</v>
      </c>
      <c r="H42" s="338">
        <v>2275</v>
      </c>
    </row>
    <row r="43" spans="1:8" ht="12.75">
      <c r="A43" s="337" t="s">
        <v>299</v>
      </c>
      <c r="B43" s="370">
        <v>2100334</v>
      </c>
      <c r="C43" s="338">
        <v>2300</v>
      </c>
      <c r="F43" s="337" t="s">
        <v>292</v>
      </c>
      <c r="G43" s="370">
        <v>1134255</v>
      </c>
      <c r="H43" s="338">
        <v>2300</v>
      </c>
    </row>
    <row r="44" spans="1:8" ht="12.75">
      <c r="A44" s="337" t="s">
        <v>297</v>
      </c>
      <c r="B44" s="370">
        <v>838677</v>
      </c>
      <c r="C44" s="338">
        <v>2300</v>
      </c>
      <c r="F44" s="337" t="s">
        <v>292</v>
      </c>
      <c r="G44" s="370">
        <v>2218601</v>
      </c>
      <c r="H44" s="338">
        <v>2350</v>
      </c>
    </row>
    <row r="45" spans="1:8" ht="12.75">
      <c r="A45" s="337" t="s">
        <v>304</v>
      </c>
      <c r="B45" s="370">
        <v>3082566</v>
      </c>
      <c r="C45" s="338">
        <f>19825+2240</f>
        <v>22065</v>
      </c>
      <c r="F45" s="337" t="s">
        <v>297</v>
      </c>
      <c r="G45" s="370">
        <v>2936034</v>
      </c>
      <c r="H45" s="338">
        <v>2220</v>
      </c>
    </row>
    <row r="46" spans="1:8" ht="12.75">
      <c r="A46" s="337" t="s">
        <v>304</v>
      </c>
      <c r="B46" s="370">
        <v>3087146</v>
      </c>
      <c r="C46" s="338">
        <f>19948+2240</f>
        <v>22188</v>
      </c>
      <c r="F46" s="337" t="s">
        <v>297</v>
      </c>
      <c r="G46" s="370">
        <v>6053660</v>
      </c>
      <c r="H46" s="338">
        <v>2250</v>
      </c>
    </row>
    <row r="47" spans="1:8" ht="12.75">
      <c r="A47" s="337" t="s">
        <v>304</v>
      </c>
      <c r="B47" s="370">
        <v>3244820</v>
      </c>
      <c r="C47" s="338">
        <f>20018+2330</f>
        <v>22348</v>
      </c>
      <c r="F47" s="337" t="s">
        <v>298</v>
      </c>
      <c r="G47" s="370">
        <v>2412017</v>
      </c>
      <c r="H47" s="338">
        <v>2200</v>
      </c>
    </row>
    <row r="48" spans="1:8" ht="12.75">
      <c r="A48" s="337" t="s">
        <v>304</v>
      </c>
      <c r="B48" s="370">
        <v>3109712</v>
      </c>
      <c r="C48" s="338">
        <f>20448+2380</f>
        <v>22828</v>
      </c>
      <c r="F48" s="337" t="s">
        <v>297</v>
      </c>
      <c r="G48" s="370">
        <v>2296111</v>
      </c>
      <c r="H48" s="338">
        <v>2300</v>
      </c>
    </row>
    <row r="49" spans="1:8" ht="12.75">
      <c r="A49" s="337" t="s">
        <v>292</v>
      </c>
      <c r="B49" s="370">
        <v>2468278</v>
      </c>
      <c r="C49" s="338">
        <v>2250</v>
      </c>
      <c r="F49" s="337" t="s">
        <v>301</v>
      </c>
      <c r="G49" s="370">
        <v>1960800</v>
      </c>
      <c r="H49" s="338">
        <v>4300</v>
      </c>
    </row>
    <row r="50" spans="1:8" ht="12.75">
      <c r="A50" s="337" t="s">
        <v>292</v>
      </c>
      <c r="B50" s="370">
        <v>1034908</v>
      </c>
      <c r="C50" s="338">
        <v>2350</v>
      </c>
      <c r="F50" s="337" t="s">
        <v>301</v>
      </c>
      <c r="G50" s="370">
        <v>4990095</v>
      </c>
      <c r="H50" s="338">
        <v>4650</v>
      </c>
    </row>
    <row r="51" spans="1:8" ht="12.75">
      <c r="A51" s="337" t="s">
        <v>292</v>
      </c>
      <c r="B51" s="370">
        <v>2286843</v>
      </c>
      <c r="C51" s="338">
        <v>2350</v>
      </c>
      <c r="F51" s="337" t="s">
        <v>302</v>
      </c>
      <c r="G51" s="370">
        <v>2300125</v>
      </c>
      <c r="H51" s="338">
        <v>3270</v>
      </c>
    </row>
    <row r="52" spans="1:8" ht="12.75">
      <c r="A52" s="337" t="s">
        <v>292</v>
      </c>
      <c r="B52" s="370">
        <v>2307416</v>
      </c>
      <c r="C52" s="338">
        <v>2280</v>
      </c>
      <c r="F52" s="337" t="s">
        <v>302</v>
      </c>
      <c r="G52" s="370">
        <v>2300172</v>
      </c>
      <c r="H52" s="338">
        <v>3270</v>
      </c>
    </row>
    <row r="53" spans="1:10" ht="12.75">
      <c r="A53" s="337" t="s">
        <v>292</v>
      </c>
      <c r="B53" s="370">
        <v>2981059</v>
      </c>
      <c r="C53" s="338">
        <v>2250</v>
      </c>
      <c r="F53" s="337"/>
      <c r="G53" s="341"/>
      <c r="H53" s="338"/>
      <c r="J53">
        <f>SUM(C1:C106)</f>
        <v>207154</v>
      </c>
    </row>
    <row r="54" spans="1:6" ht="12.75">
      <c r="A54"/>
      <c r="F54" s="335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</sheetData>
  <printOptions/>
  <pageMargins left="0.75" right="0.75" top="1" bottom="1" header="0.5" footer="0.5"/>
  <pageSetup blackAndWhite="1" horizontalDpi="240" verticalDpi="24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5">
      <selection activeCell="D9" sqref="D9"/>
    </sheetView>
  </sheetViews>
  <sheetFormatPr defaultColWidth="9.00390625" defaultRowHeight="12.75"/>
  <cols>
    <col min="1" max="1" width="4.375" style="0" customWidth="1"/>
    <col min="3" max="3" width="2.00390625" style="0" customWidth="1"/>
    <col min="4" max="4" width="5.625" style="0" customWidth="1"/>
    <col min="5" max="5" width="2.00390625" style="0" customWidth="1"/>
    <col min="6" max="6" width="6.875" style="0" customWidth="1"/>
    <col min="7" max="7" width="2.00390625" style="0" customWidth="1"/>
    <col min="8" max="8" width="4.125" style="0" customWidth="1"/>
    <col min="10" max="10" width="2.00390625" style="0" customWidth="1"/>
    <col min="11" max="11" width="6.375" style="0" customWidth="1"/>
    <col min="12" max="12" width="2.00390625" style="0" customWidth="1"/>
    <col min="13" max="13" width="6.875" style="0" customWidth="1"/>
    <col min="14" max="14" width="1.37890625" style="0" customWidth="1"/>
  </cols>
  <sheetData>
    <row r="1" spans="1:17" ht="12.75">
      <c r="A1" s="53"/>
      <c r="B1" s="53"/>
      <c r="C1" s="54" t="s">
        <v>320</v>
      </c>
      <c r="D1" s="55"/>
      <c r="E1" s="55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2.75">
      <c r="A2" s="53"/>
      <c r="B2" s="56" t="s">
        <v>321</v>
      </c>
      <c r="C2" s="53"/>
      <c r="D2" s="57" t="s">
        <v>322</v>
      </c>
      <c r="E2" s="58"/>
      <c r="F2" s="59" t="s">
        <v>323</v>
      </c>
      <c r="G2" s="60"/>
      <c r="H2" s="53"/>
      <c r="I2" s="53"/>
      <c r="J2" s="54" t="s">
        <v>320</v>
      </c>
      <c r="K2" s="61"/>
      <c r="L2" s="55"/>
      <c r="M2" s="62" t="s">
        <v>324</v>
      </c>
      <c r="N2" s="53"/>
      <c r="O2" s="53"/>
      <c r="P2" s="53"/>
      <c r="Q2" s="53"/>
    </row>
    <row r="3" spans="1:17" ht="12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2.75">
      <c r="A4" s="63">
        <v>525</v>
      </c>
      <c r="B4" s="64" t="s">
        <v>325</v>
      </c>
      <c r="C4" s="65"/>
      <c r="D4" s="66">
        <v>7</v>
      </c>
      <c r="E4" s="65"/>
      <c r="F4" s="67">
        <f>Лист6!C5</f>
        <v>0.49645390070921985</v>
      </c>
      <c r="G4" s="53"/>
      <c r="H4" s="53"/>
      <c r="I4" s="56" t="s">
        <v>321</v>
      </c>
      <c r="J4" s="53"/>
      <c r="K4" s="57" t="s">
        <v>322</v>
      </c>
      <c r="L4" s="58"/>
      <c r="M4" s="59" t="s">
        <v>323</v>
      </c>
      <c r="N4" s="60"/>
      <c r="O4" s="53"/>
      <c r="P4" s="53"/>
      <c r="Q4" s="53"/>
    </row>
    <row r="5" spans="1:17" ht="12.75">
      <c r="A5" s="53"/>
      <c r="B5" s="65"/>
      <c r="C5" s="65"/>
      <c r="D5" s="65"/>
      <c r="E5" s="65"/>
      <c r="F5" s="68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12.75">
      <c r="A6" s="63">
        <v>268</v>
      </c>
      <c r="B6" s="64" t="s">
        <v>326</v>
      </c>
      <c r="C6" s="65"/>
      <c r="D6" s="66">
        <v>70</v>
      </c>
      <c r="E6" s="65"/>
      <c r="F6" s="67">
        <f>Лист6!G5</f>
        <v>10.092333333333332</v>
      </c>
      <c r="G6" s="53"/>
      <c r="H6" s="53"/>
      <c r="I6" s="64" t="s">
        <v>327</v>
      </c>
      <c r="J6" s="65"/>
      <c r="K6" s="66">
        <v>7</v>
      </c>
      <c r="L6" s="65"/>
      <c r="M6" s="67">
        <f>Лист6!K5</f>
        <v>0.6962059620596207</v>
      </c>
      <c r="N6" s="53"/>
      <c r="O6" s="53"/>
      <c r="P6" s="53"/>
      <c r="Q6" s="53"/>
    </row>
    <row r="7" spans="1:17" ht="12.75">
      <c r="A7" s="53"/>
      <c r="B7" s="65"/>
      <c r="C7" s="65"/>
      <c r="D7" s="65"/>
      <c r="E7" s="65"/>
      <c r="F7" s="68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ht="12.75">
      <c r="A8" s="63">
        <v>349</v>
      </c>
      <c r="B8" s="64" t="s">
        <v>328</v>
      </c>
      <c r="C8" s="65"/>
      <c r="D8" s="66">
        <v>52</v>
      </c>
      <c r="E8" s="65"/>
      <c r="F8" s="67">
        <f>Лист6!O5</f>
        <v>43.63636363636363</v>
      </c>
      <c r="G8" s="53"/>
      <c r="H8" s="53"/>
      <c r="I8" s="64" t="s">
        <v>329</v>
      </c>
      <c r="J8" s="65"/>
      <c r="K8" s="66">
        <v>23</v>
      </c>
      <c r="L8" s="65"/>
      <c r="M8" s="67">
        <f>Лист6!S5</f>
        <v>20</v>
      </c>
      <c r="N8" s="53"/>
      <c r="O8" s="53"/>
      <c r="P8" s="53"/>
      <c r="Q8" s="53"/>
    </row>
    <row r="9" spans="1:17" ht="12.75">
      <c r="A9" s="53"/>
      <c r="B9" s="65"/>
      <c r="C9" s="65"/>
      <c r="D9" s="65"/>
      <c r="E9" s="65"/>
      <c r="F9" s="68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12.75">
      <c r="A10" s="63">
        <v>349</v>
      </c>
      <c r="B10" s="64" t="s">
        <v>330</v>
      </c>
      <c r="C10" s="65"/>
      <c r="D10" s="66">
        <v>19</v>
      </c>
      <c r="E10" s="65"/>
      <c r="F10" s="67">
        <f>Лист6!W5</f>
        <v>15.384615384615385</v>
      </c>
      <c r="G10" s="53"/>
      <c r="H10" s="53"/>
      <c r="I10" s="64" t="s">
        <v>331</v>
      </c>
      <c r="J10" s="65"/>
      <c r="K10" s="66">
        <v>25</v>
      </c>
      <c r="L10" s="65"/>
      <c r="M10" s="67">
        <f>Лист6!AA5</f>
        <v>20</v>
      </c>
      <c r="N10" s="53"/>
      <c r="O10" s="53"/>
      <c r="P10" s="53"/>
      <c r="Q10" s="53"/>
    </row>
    <row r="11" spans="1:17" ht="12.75">
      <c r="A11" s="53"/>
      <c r="B11" s="65"/>
      <c r="C11" s="65"/>
      <c r="D11" s="65"/>
      <c r="E11" s="65"/>
      <c r="F11" s="68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12.75">
      <c r="A12" s="63">
        <v>349</v>
      </c>
      <c r="B12" s="64" t="s">
        <v>332</v>
      </c>
      <c r="C12" s="65"/>
      <c r="D12" s="66">
        <v>258</v>
      </c>
      <c r="E12" s="65"/>
      <c r="F12" s="67">
        <f>Лист6!AE5</f>
        <v>119.76744186046511</v>
      </c>
      <c r="G12" s="53"/>
      <c r="H12" s="53"/>
      <c r="I12" s="64" t="s">
        <v>333</v>
      </c>
      <c r="J12" s="65"/>
      <c r="K12" s="66">
        <v>30</v>
      </c>
      <c r="L12" s="65"/>
      <c r="M12" s="67">
        <f>Лист6!AI5</f>
        <v>27.272727272727273</v>
      </c>
      <c r="N12" s="53"/>
      <c r="O12" s="53"/>
      <c r="P12" s="53"/>
      <c r="Q12" s="53"/>
    </row>
    <row r="13" spans="1:17" ht="12.75">
      <c r="A13" s="53"/>
      <c r="B13" s="65"/>
      <c r="C13" s="65"/>
      <c r="D13" s="65"/>
      <c r="E13" s="65"/>
      <c r="F13" s="68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ht="12.75">
      <c r="A14" s="63">
        <v>86</v>
      </c>
      <c r="B14" s="64" t="s">
        <v>334</v>
      </c>
      <c r="C14" s="65"/>
      <c r="D14" s="66">
        <v>3</v>
      </c>
      <c r="E14" s="65"/>
      <c r="F14" s="67">
        <f>Лист6!AM5</f>
        <v>4.5</v>
      </c>
      <c r="G14" s="53"/>
      <c r="H14" s="53"/>
      <c r="I14" s="64" t="s">
        <v>335</v>
      </c>
      <c r="J14" s="65"/>
      <c r="K14" s="66">
        <v>30</v>
      </c>
      <c r="L14" s="65"/>
      <c r="M14" s="67">
        <f>Лист6!AQ5</f>
        <v>22.142857142857142</v>
      </c>
      <c r="N14" s="53"/>
      <c r="O14" s="53"/>
      <c r="P14" s="53"/>
      <c r="Q14" s="53"/>
    </row>
    <row r="15" spans="1:17" ht="12.75">
      <c r="A15" s="53"/>
      <c r="B15" s="65"/>
      <c r="C15" s="65"/>
      <c r="D15" s="65"/>
      <c r="E15" s="65"/>
      <c r="F15" s="68"/>
      <c r="G15" s="53"/>
      <c r="H15" s="53"/>
      <c r="I15" s="53"/>
      <c r="J15" s="53"/>
      <c r="K15" s="53"/>
      <c r="L15" s="65"/>
      <c r="M15" s="65"/>
      <c r="N15" s="65"/>
      <c r="O15" s="65"/>
      <c r="P15" s="68"/>
      <c r="Q15" s="53"/>
    </row>
    <row r="16" spans="1:17" ht="12.75">
      <c r="A16" s="53"/>
      <c r="B16" s="53"/>
      <c r="C16" s="53"/>
      <c r="D16" s="53"/>
      <c r="E16" s="53"/>
      <c r="F16" s="53"/>
      <c r="G16" s="53"/>
      <c r="H16" s="63">
        <v>314</v>
      </c>
      <c r="I16" s="69" t="s">
        <v>336</v>
      </c>
      <c r="J16" s="65"/>
      <c r="K16" s="66">
        <v>80</v>
      </c>
      <c r="L16" s="65"/>
      <c r="M16" s="67">
        <f>Лист6!AU5</f>
        <v>2.4705882352941178</v>
      </c>
      <c r="N16" s="53"/>
      <c r="O16" s="53"/>
      <c r="P16" s="53"/>
      <c r="Q16" s="53"/>
    </row>
    <row r="17" spans="1:17" ht="13.5" thickBo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65"/>
      <c r="M17" s="65"/>
      <c r="N17" s="65"/>
      <c r="O17" s="65"/>
      <c r="P17" s="68"/>
      <c r="Q17" s="53"/>
    </row>
    <row r="18" spans="1:17" ht="13.5" thickBot="1">
      <c r="A18" s="53"/>
      <c r="B18" s="70"/>
      <c r="C18" s="71" t="s">
        <v>337</v>
      </c>
      <c r="D18" s="72"/>
      <c r="E18" s="73"/>
      <c r="F18" s="74">
        <f>SUM(F4:F14,M6:M16)</f>
        <v>286.4595867284249</v>
      </c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ht="12.7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65"/>
      <c r="M19" s="65"/>
      <c r="N19" s="65"/>
      <c r="O19" s="65"/>
      <c r="P19" s="68"/>
      <c r="Q19" s="53"/>
    </row>
    <row r="20" spans="1:17" ht="12.7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12.7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65"/>
      <c r="M21" s="65"/>
      <c r="N21" s="65"/>
      <c r="O21" s="65"/>
      <c r="P21" s="68"/>
      <c r="Q21" s="53"/>
    </row>
    <row r="22" spans="1:17" ht="12.7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12.7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65"/>
      <c r="M23" s="65"/>
      <c r="N23" s="65"/>
      <c r="O23" s="65"/>
      <c r="P23" s="68"/>
      <c r="Q23" s="53"/>
    </row>
    <row r="24" spans="1:17" ht="12.7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1:17" ht="12.7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ht="12.7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ht="12.7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1:17" ht="12.7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57"/>
  <sheetViews>
    <sheetView zoomScale="75" zoomScaleNormal="75" workbookViewId="0" topLeftCell="A1">
      <selection activeCell="J18" sqref="J18"/>
    </sheetView>
  </sheetViews>
  <sheetFormatPr defaultColWidth="9.00390625" defaultRowHeight="12.75"/>
  <cols>
    <col min="2" max="2" width="9.00390625" style="148" customWidth="1"/>
    <col min="9" max="9" width="10.25390625" style="0" customWidth="1"/>
    <col min="10" max="10" width="11.375" style="0" customWidth="1"/>
    <col min="11" max="11" width="8.25390625" style="0" customWidth="1"/>
    <col min="12" max="12" width="0.74609375" style="0" customWidth="1"/>
    <col min="22" max="22" width="14.625" style="0" customWidth="1"/>
    <col min="23" max="23" width="12.75390625" style="0" customWidth="1"/>
    <col min="24" max="24" width="11.375" style="0" customWidth="1"/>
    <col min="32" max="32" width="10.25390625" style="0" customWidth="1"/>
  </cols>
  <sheetData>
    <row r="1" spans="1:24" ht="15.7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374"/>
      <c r="L1" s="373"/>
      <c r="M1" s="164"/>
      <c r="N1" s="85"/>
      <c r="O1" s="165"/>
      <c r="P1" s="149"/>
      <c r="Q1" s="274"/>
      <c r="R1" s="149"/>
      <c r="S1" s="164"/>
      <c r="T1" s="90"/>
      <c r="U1" s="149"/>
      <c r="V1" s="373"/>
      <c r="W1" s="374"/>
      <c r="X1" s="373"/>
    </row>
    <row r="2" spans="1:34" ht="18.75">
      <c r="A2" s="149"/>
      <c r="B2" s="150"/>
      <c r="C2" s="154" t="s">
        <v>1</v>
      </c>
      <c r="D2" s="155"/>
      <c r="E2" s="155"/>
      <c r="F2" s="155"/>
      <c r="G2" s="155"/>
      <c r="H2" s="150"/>
      <c r="I2" s="149"/>
      <c r="J2" s="149"/>
      <c r="K2" s="374"/>
      <c r="L2" s="373"/>
      <c r="M2" s="149"/>
      <c r="N2" s="149"/>
      <c r="O2" s="174"/>
      <c r="P2" s="149"/>
      <c r="Q2" s="175"/>
      <c r="R2" s="84"/>
      <c r="S2" s="153"/>
      <c r="T2" s="275"/>
      <c r="U2" s="276"/>
      <c r="V2" s="373"/>
      <c r="W2" s="374"/>
      <c r="X2" s="373"/>
      <c r="Y2" s="149" t="s">
        <v>0</v>
      </c>
      <c r="Z2" s="149"/>
      <c r="AA2" s="149"/>
      <c r="AB2" s="149"/>
      <c r="AC2" s="149"/>
      <c r="AD2" s="149"/>
      <c r="AE2" s="149"/>
      <c r="AF2" s="149"/>
      <c r="AG2" s="149"/>
      <c r="AH2" s="149"/>
    </row>
    <row r="3" spans="1:34" ht="18.75">
      <c r="A3" s="164" t="s">
        <v>18</v>
      </c>
      <c r="B3" s="85">
        <v>37365</v>
      </c>
      <c r="C3" s="165"/>
      <c r="D3" s="149"/>
      <c r="E3" s="274" t="s">
        <v>19</v>
      </c>
      <c r="F3" s="149"/>
      <c r="G3" s="164" t="s">
        <v>20</v>
      </c>
      <c r="H3" s="90" t="s">
        <v>24</v>
      </c>
      <c r="I3" s="149"/>
      <c r="J3" s="149"/>
      <c r="K3" s="374"/>
      <c r="L3" s="373"/>
      <c r="M3" s="150"/>
      <c r="N3" s="149"/>
      <c r="O3" s="149"/>
      <c r="P3" s="149"/>
      <c r="Q3" s="149"/>
      <c r="R3" s="150"/>
      <c r="S3" s="149"/>
      <c r="T3" s="149"/>
      <c r="U3" s="149"/>
      <c r="V3" s="373"/>
      <c r="W3" s="374"/>
      <c r="X3" s="373"/>
      <c r="Y3" s="149"/>
      <c r="Z3" s="150"/>
      <c r="AA3" s="154"/>
      <c r="AB3" s="155"/>
      <c r="AC3" s="155"/>
      <c r="AD3" s="155"/>
      <c r="AE3" s="155"/>
      <c r="AF3" s="150"/>
      <c r="AG3" s="149"/>
      <c r="AH3" s="149"/>
    </row>
    <row r="4" spans="1:34" ht="15.75">
      <c r="A4" s="149"/>
      <c r="B4" s="149"/>
      <c r="C4" s="174"/>
      <c r="D4" s="149"/>
      <c r="E4" s="175" t="s">
        <v>22</v>
      </c>
      <c r="F4" s="84" t="s">
        <v>355</v>
      </c>
      <c r="G4" s="153"/>
      <c r="H4" s="275" t="s">
        <v>23</v>
      </c>
      <c r="I4" s="276" t="s">
        <v>291</v>
      </c>
      <c r="J4" s="149"/>
      <c r="K4" s="374"/>
      <c r="L4" s="373"/>
      <c r="M4" s="372"/>
      <c r="N4" s="332"/>
      <c r="O4" s="332"/>
      <c r="P4" s="332"/>
      <c r="Q4" s="180"/>
      <c r="R4" s="321"/>
      <c r="S4" s="323"/>
      <c r="T4" s="321"/>
      <c r="U4" s="288"/>
      <c r="V4" s="373"/>
      <c r="W4" s="374"/>
      <c r="X4" s="373"/>
      <c r="Y4" s="164"/>
      <c r="Z4" s="85"/>
      <c r="AA4" s="165"/>
      <c r="AB4" s="149"/>
      <c r="AC4" s="274"/>
      <c r="AD4" s="149"/>
      <c r="AE4" s="164"/>
      <c r="AF4" s="90"/>
      <c r="AG4" s="149"/>
      <c r="AH4" s="149"/>
    </row>
    <row r="5" spans="1:34" ht="15">
      <c r="A5" s="150"/>
      <c r="B5" s="149"/>
      <c r="C5" s="149"/>
      <c r="D5" s="149"/>
      <c r="E5" s="149"/>
      <c r="F5" s="150"/>
      <c r="G5" s="149"/>
      <c r="H5" s="149"/>
      <c r="I5" s="149"/>
      <c r="J5" s="149"/>
      <c r="K5" s="374"/>
      <c r="L5" s="373"/>
      <c r="M5" s="322"/>
      <c r="N5" s="332"/>
      <c r="O5" s="332"/>
      <c r="P5" s="332"/>
      <c r="Q5" s="183"/>
      <c r="R5" s="321"/>
      <c r="S5" s="323"/>
      <c r="T5" s="321"/>
      <c r="U5" s="288"/>
      <c r="V5" s="373"/>
      <c r="W5" s="374"/>
      <c r="X5" s="373"/>
      <c r="Y5" s="149"/>
      <c r="Z5" s="149"/>
      <c r="AA5" s="174"/>
      <c r="AB5" s="149"/>
      <c r="AC5" s="175"/>
      <c r="AD5" s="84"/>
      <c r="AE5" s="153"/>
      <c r="AF5" s="275"/>
      <c r="AG5" s="276"/>
      <c r="AH5" s="149"/>
    </row>
    <row r="6" spans="1:34" ht="12.75">
      <c r="A6" s="410">
        <v>2.3</v>
      </c>
      <c r="B6" s="411">
        <v>2.3</v>
      </c>
      <c r="C6" s="411">
        <v>2.3</v>
      </c>
      <c r="D6" s="410">
        <v>2.3</v>
      </c>
      <c r="E6" s="180" t="s">
        <v>39</v>
      </c>
      <c r="F6" s="410">
        <v>2.3</v>
      </c>
      <c r="G6" s="411">
        <v>2.3</v>
      </c>
      <c r="H6" s="411">
        <v>2.3</v>
      </c>
      <c r="I6" s="411">
        <v>0</v>
      </c>
      <c r="J6" s="181"/>
      <c r="K6" s="374"/>
      <c r="L6" s="373"/>
      <c r="M6" s="322"/>
      <c r="N6" s="332"/>
      <c r="O6" s="332"/>
      <c r="P6" s="332"/>
      <c r="Q6" s="166"/>
      <c r="R6" s="321"/>
      <c r="S6" s="323"/>
      <c r="T6" s="321"/>
      <c r="U6" s="288"/>
      <c r="V6" s="373"/>
      <c r="W6" s="374"/>
      <c r="X6" s="373"/>
      <c r="Y6" s="150"/>
      <c r="Z6" s="149"/>
      <c r="AA6" s="149"/>
      <c r="AB6" s="149"/>
      <c r="AC6" s="149"/>
      <c r="AD6" s="150"/>
      <c r="AE6" s="149"/>
      <c r="AF6" s="149"/>
      <c r="AG6" s="149"/>
      <c r="AH6" s="149"/>
    </row>
    <row r="7" spans="1:34" ht="12.75">
      <c r="A7" s="410">
        <v>2.3</v>
      </c>
      <c r="B7" s="411">
        <v>2.3</v>
      </c>
      <c r="C7" s="411">
        <v>2.3</v>
      </c>
      <c r="D7" s="410">
        <v>2.3</v>
      </c>
      <c r="E7" s="183" t="s">
        <v>41</v>
      </c>
      <c r="F7" s="410">
        <v>2.3</v>
      </c>
      <c r="G7" s="411">
        <v>2.3</v>
      </c>
      <c r="H7" s="411">
        <v>2.3</v>
      </c>
      <c r="I7" s="411">
        <v>0</v>
      </c>
      <c r="J7" s="184"/>
      <c r="K7" s="374"/>
      <c r="L7" s="373"/>
      <c r="M7" s="372"/>
      <c r="N7" s="332"/>
      <c r="O7" s="332"/>
      <c r="P7" s="332"/>
      <c r="Q7" s="194"/>
      <c r="R7" s="321"/>
      <c r="S7" s="323"/>
      <c r="T7" s="321"/>
      <c r="U7" s="288"/>
      <c r="V7" s="373"/>
      <c r="W7" s="374"/>
      <c r="X7" s="373"/>
      <c r="Y7" s="379"/>
      <c r="Z7" s="380"/>
      <c r="AA7" s="379"/>
      <c r="AB7" s="380"/>
      <c r="AC7" s="180"/>
      <c r="AD7" s="379"/>
      <c r="AE7" s="380"/>
      <c r="AF7" s="379"/>
      <c r="AG7" s="380"/>
      <c r="AH7" s="181"/>
    </row>
    <row r="8" spans="1:34" ht="12.75">
      <c r="A8" s="410">
        <v>2.3</v>
      </c>
      <c r="B8" s="411">
        <v>2.3</v>
      </c>
      <c r="C8" s="411">
        <v>2.3</v>
      </c>
      <c r="D8" s="410">
        <v>2.3</v>
      </c>
      <c r="E8" s="166" t="s">
        <v>43</v>
      </c>
      <c r="F8" s="410">
        <v>2.3</v>
      </c>
      <c r="G8" s="411">
        <v>2.3</v>
      </c>
      <c r="H8" s="411">
        <v>2.3</v>
      </c>
      <c r="I8" s="411">
        <v>0</v>
      </c>
      <c r="J8" s="166"/>
      <c r="K8" s="374"/>
      <c r="L8" s="373"/>
      <c r="M8" s="149"/>
      <c r="N8" s="287"/>
      <c r="O8" s="196"/>
      <c r="P8" s="149"/>
      <c r="Q8" s="149"/>
      <c r="R8" s="149"/>
      <c r="S8" s="197"/>
      <c r="T8" s="150"/>
      <c r="U8" s="149"/>
      <c r="V8" s="373"/>
      <c r="W8" s="374"/>
      <c r="X8" s="373"/>
      <c r="Y8" s="379"/>
      <c r="Z8" s="380"/>
      <c r="AA8" s="379"/>
      <c r="AB8" s="380"/>
      <c r="AC8" s="183"/>
      <c r="AD8" s="379"/>
      <c r="AE8" s="380"/>
      <c r="AF8" s="379"/>
      <c r="AG8" s="380"/>
      <c r="AH8" s="184"/>
    </row>
    <row r="9" spans="1:34" ht="12.75">
      <c r="A9" s="410">
        <v>2.3</v>
      </c>
      <c r="B9" s="411">
        <v>2.3</v>
      </c>
      <c r="C9" s="411">
        <v>2.3</v>
      </c>
      <c r="D9" s="410">
        <v>2.3</v>
      </c>
      <c r="E9" s="194" t="s">
        <v>45</v>
      </c>
      <c r="F9" s="410">
        <v>2.3</v>
      </c>
      <c r="G9" s="411">
        <v>2.3</v>
      </c>
      <c r="H9" s="411">
        <v>2.3</v>
      </c>
      <c r="I9" s="411">
        <v>0</v>
      </c>
      <c r="J9" s="149"/>
      <c r="K9" s="374"/>
      <c r="L9" s="373"/>
      <c r="M9" s="332"/>
      <c r="N9" s="332"/>
      <c r="O9" s="332"/>
      <c r="P9" s="332"/>
      <c r="Q9" s="194"/>
      <c r="R9" s="333"/>
      <c r="S9" s="332"/>
      <c r="T9" s="331"/>
      <c r="U9" s="334"/>
      <c r="V9" s="373"/>
      <c r="W9" s="374"/>
      <c r="X9" s="373"/>
      <c r="Y9" s="379"/>
      <c r="Z9" s="380"/>
      <c r="AA9" s="379"/>
      <c r="AB9" s="380"/>
      <c r="AC9" s="166"/>
      <c r="AD9" s="379"/>
      <c r="AE9" s="380"/>
      <c r="AF9" s="379"/>
      <c r="AG9" s="380"/>
      <c r="AH9" s="166"/>
    </row>
    <row r="10" spans="1:34" ht="12.75">
      <c r="A10" s="149"/>
      <c r="B10" s="287"/>
      <c r="C10" s="196" t="s">
        <v>47</v>
      </c>
      <c r="D10" s="149"/>
      <c r="E10" s="149"/>
      <c r="F10" s="149" t="s">
        <v>0</v>
      </c>
      <c r="G10" s="197" t="s">
        <v>48</v>
      </c>
      <c r="H10" s="150"/>
      <c r="I10" s="149"/>
      <c r="J10" s="149"/>
      <c r="K10" s="374"/>
      <c r="L10" s="373"/>
      <c r="M10" s="333"/>
      <c r="N10" s="332"/>
      <c r="O10" s="332"/>
      <c r="P10" s="332"/>
      <c r="Q10" s="183"/>
      <c r="R10" s="333"/>
      <c r="S10" s="334"/>
      <c r="T10" s="331"/>
      <c r="U10" s="334"/>
      <c r="V10" s="373"/>
      <c r="W10" s="374"/>
      <c r="X10" s="373"/>
      <c r="Y10" s="379"/>
      <c r="Z10" s="380"/>
      <c r="AA10" s="379"/>
      <c r="AB10" s="380"/>
      <c r="AC10" s="194"/>
      <c r="AD10" s="379"/>
      <c r="AE10" s="380"/>
      <c r="AF10" s="379"/>
      <c r="AG10" s="380"/>
      <c r="AH10" s="149"/>
    </row>
    <row r="11" spans="1:34" ht="12.75">
      <c r="A11" s="410">
        <v>2.3</v>
      </c>
      <c r="B11" s="411">
        <v>2.3</v>
      </c>
      <c r="C11" s="411">
        <v>2.3</v>
      </c>
      <c r="D11" s="410">
        <v>2.3</v>
      </c>
      <c r="E11" s="194" t="s">
        <v>39</v>
      </c>
      <c r="F11" s="410">
        <v>2.3</v>
      </c>
      <c r="G11" s="411">
        <v>2.3</v>
      </c>
      <c r="H11" s="411">
        <v>2.3</v>
      </c>
      <c r="I11" s="410">
        <v>2.3</v>
      </c>
      <c r="J11" s="149"/>
      <c r="K11" s="374"/>
      <c r="L11" s="373"/>
      <c r="M11" s="333"/>
      <c r="N11" s="332"/>
      <c r="O11" s="332"/>
      <c r="P11" s="332"/>
      <c r="Q11" s="166"/>
      <c r="R11" s="333"/>
      <c r="S11" s="334"/>
      <c r="T11" s="331"/>
      <c r="U11" s="334"/>
      <c r="V11" s="373"/>
      <c r="W11" s="374"/>
      <c r="X11" s="373"/>
      <c r="Y11" s="149"/>
      <c r="Z11" s="287"/>
      <c r="AA11" s="196"/>
      <c r="AB11" s="149"/>
      <c r="AC11" s="149"/>
      <c r="AD11" s="149"/>
      <c r="AE11" s="197"/>
      <c r="AF11" s="150"/>
      <c r="AG11" s="149"/>
      <c r="AH11" s="149"/>
    </row>
    <row r="12" spans="1:34" ht="12.75">
      <c r="A12" s="410">
        <v>2.3</v>
      </c>
      <c r="B12" s="411">
        <v>2.3</v>
      </c>
      <c r="C12" s="411">
        <v>2.3</v>
      </c>
      <c r="D12" s="410">
        <v>2.3</v>
      </c>
      <c r="E12" s="183" t="s">
        <v>50</v>
      </c>
      <c r="F12" s="410">
        <v>2.3</v>
      </c>
      <c r="G12" s="411">
        <v>2.3</v>
      </c>
      <c r="H12" s="411">
        <v>2.3</v>
      </c>
      <c r="I12" s="410">
        <v>2.3</v>
      </c>
      <c r="J12" s="184"/>
      <c r="K12" s="374"/>
      <c r="L12" s="373"/>
      <c r="M12" s="333"/>
      <c r="N12" s="332"/>
      <c r="O12" s="332"/>
      <c r="P12" s="332"/>
      <c r="Q12" s="180"/>
      <c r="R12" s="333"/>
      <c r="S12" s="334"/>
      <c r="T12" s="331"/>
      <c r="U12" s="334"/>
      <c r="V12" s="373"/>
      <c r="W12" s="374"/>
      <c r="X12" s="373"/>
      <c r="Y12" s="379"/>
      <c r="Z12" s="380"/>
      <c r="AA12" s="379"/>
      <c r="AB12" s="380"/>
      <c r="AC12" s="194"/>
      <c r="AD12" s="410"/>
      <c r="AE12" s="411"/>
      <c r="AF12" s="410"/>
      <c r="AG12" s="411"/>
      <c r="AH12" s="149"/>
    </row>
    <row r="13" spans="1:34" ht="12.75">
      <c r="A13" s="410">
        <v>2.3</v>
      </c>
      <c r="B13" s="411">
        <v>2.3</v>
      </c>
      <c r="C13" s="411">
        <v>2.3</v>
      </c>
      <c r="D13" s="410">
        <v>2.3</v>
      </c>
      <c r="E13" s="166" t="s">
        <v>52</v>
      </c>
      <c r="F13" s="410">
        <v>2.3</v>
      </c>
      <c r="G13" s="411">
        <v>2.3</v>
      </c>
      <c r="H13" s="411">
        <v>2.3</v>
      </c>
      <c r="I13" s="410">
        <v>2.3</v>
      </c>
      <c r="J13" s="166"/>
      <c r="K13" s="374"/>
      <c r="L13" s="373"/>
      <c r="M13" s="149"/>
      <c r="N13" s="149"/>
      <c r="O13" s="149"/>
      <c r="P13" s="149"/>
      <c r="Q13" s="149"/>
      <c r="R13" s="149"/>
      <c r="S13" s="149"/>
      <c r="T13" s="149"/>
      <c r="U13" s="149"/>
      <c r="V13" s="373"/>
      <c r="W13" s="374"/>
      <c r="X13" s="373"/>
      <c r="Y13" s="379"/>
      <c r="Z13" s="380"/>
      <c r="AA13" s="379"/>
      <c r="AB13" s="380"/>
      <c r="AC13" s="183"/>
      <c r="AD13" s="412"/>
      <c r="AE13" s="413"/>
      <c r="AF13" s="410"/>
      <c r="AG13" s="411"/>
      <c r="AH13" s="184"/>
    </row>
    <row r="14" spans="1:34" ht="12.75">
      <c r="A14" s="410">
        <v>2.3</v>
      </c>
      <c r="B14" s="411">
        <v>2.3</v>
      </c>
      <c r="C14" s="411">
        <v>2.3</v>
      </c>
      <c r="D14" s="410">
        <v>2.3</v>
      </c>
      <c r="E14" s="180" t="s">
        <v>45</v>
      </c>
      <c r="F14" s="410">
        <v>2.3</v>
      </c>
      <c r="G14" s="411">
        <v>2.3</v>
      </c>
      <c r="H14" s="411">
        <v>2.3</v>
      </c>
      <c r="I14" s="410">
        <v>2.3</v>
      </c>
      <c r="J14" s="149"/>
      <c r="K14" s="374"/>
      <c r="L14" s="373"/>
      <c r="M14" s="330"/>
      <c r="N14" s="330"/>
      <c r="O14" s="285"/>
      <c r="P14" s="325"/>
      <c r="Q14" s="180"/>
      <c r="R14" s="330"/>
      <c r="S14" s="330"/>
      <c r="T14" s="331"/>
      <c r="U14" s="331"/>
      <c r="V14" s="373"/>
      <c r="W14" s="374"/>
      <c r="X14" s="373"/>
      <c r="Y14" s="379"/>
      <c r="Z14" s="380"/>
      <c r="AA14" s="379"/>
      <c r="AB14" s="380"/>
      <c r="AC14" s="166"/>
      <c r="AD14" s="410"/>
      <c r="AE14" s="411"/>
      <c r="AF14" s="410"/>
      <c r="AG14" s="411"/>
      <c r="AH14" s="166"/>
    </row>
    <row r="15" spans="1:34" ht="12.75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374"/>
      <c r="L15" s="373"/>
      <c r="M15" s="330"/>
      <c r="N15" s="330"/>
      <c r="O15" s="285"/>
      <c r="P15" s="325"/>
      <c r="Q15" s="183"/>
      <c r="R15" s="330"/>
      <c r="S15" s="331"/>
      <c r="T15" s="331"/>
      <c r="U15" s="331"/>
      <c r="V15" s="373"/>
      <c r="W15" s="374"/>
      <c r="X15" s="373"/>
      <c r="Y15" s="379"/>
      <c r="Z15" s="380"/>
      <c r="AA15" s="379"/>
      <c r="AB15" s="380"/>
      <c r="AC15" s="180"/>
      <c r="AD15" s="410"/>
      <c r="AE15" s="411"/>
      <c r="AF15" s="410"/>
      <c r="AG15" s="411"/>
      <c r="AH15" s="149"/>
    </row>
    <row r="16" spans="1:34" ht="12.75">
      <c r="A16" s="207" t="s">
        <v>47</v>
      </c>
      <c r="B16" s="289">
        <f>SUM(K6:P14)</f>
        <v>0</v>
      </c>
      <c r="C16" s="181" t="s">
        <v>56</v>
      </c>
      <c r="D16" s="155" t="s">
        <v>57</v>
      </c>
      <c r="E16" s="208"/>
      <c r="F16" s="290">
        <f>B16+I16</f>
        <v>0</v>
      </c>
      <c r="G16" s="209" t="s">
        <v>56</v>
      </c>
      <c r="H16" s="210" t="s">
        <v>48</v>
      </c>
      <c r="I16" s="289">
        <f>SUM(Q6:V14)</f>
        <v>0</v>
      </c>
      <c r="J16" s="149"/>
      <c r="K16" s="374"/>
      <c r="L16" s="373"/>
      <c r="M16" s="330"/>
      <c r="N16" s="330"/>
      <c r="O16" s="330"/>
      <c r="P16" s="330"/>
      <c r="Q16" s="166"/>
      <c r="R16" s="330"/>
      <c r="S16" s="331"/>
      <c r="T16" s="331"/>
      <c r="U16" s="331"/>
      <c r="V16" s="373"/>
      <c r="W16" s="374"/>
      <c r="X16" s="373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</row>
    <row r="17" spans="1:34" ht="12.75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374"/>
      <c r="L17" s="373"/>
      <c r="M17" s="330"/>
      <c r="N17" s="330"/>
      <c r="O17" s="330"/>
      <c r="P17" s="330"/>
      <c r="Q17" s="180"/>
      <c r="R17" s="330"/>
      <c r="S17" s="331"/>
      <c r="T17" s="331"/>
      <c r="U17" s="331"/>
      <c r="V17" s="373"/>
      <c r="W17" s="374"/>
      <c r="X17" s="373"/>
      <c r="Y17" s="207"/>
      <c r="Z17" s="289"/>
      <c r="AA17" s="181"/>
      <c r="AB17" s="155"/>
      <c r="AC17" s="208"/>
      <c r="AD17" s="290"/>
      <c r="AE17" s="209"/>
      <c r="AF17" s="210"/>
      <c r="AG17" s="289"/>
      <c r="AH17" s="149"/>
    </row>
    <row r="18" spans="1:34" ht="12.75">
      <c r="A18" s="410">
        <v>2.3</v>
      </c>
      <c r="B18" s="411">
        <v>2.3</v>
      </c>
      <c r="C18" s="411">
        <v>2.3</v>
      </c>
      <c r="D18" s="411">
        <v>2.3</v>
      </c>
      <c r="E18" s="180" t="s">
        <v>39</v>
      </c>
      <c r="F18" s="379">
        <v>40</v>
      </c>
      <c r="G18" s="380">
        <v>30.1</v>
      </c>
      <c r="H18" s="411">
        <v>2.3</v>
      </c>
      <c r="I18" s="411">
        <v>2.3</v>
      </c>
      <c r="J18" s="217"/>
      <c r="K18" s="374"/>
      <c r="L18" s="373"/>
      <c r="M18" s="149"/>
      <c r="N18" s="150"/>
      <c r="O18" s="196"/>
      <c r="P18" s="149"/>
      <c r="Q18" s="203"/>
      <c r="R18" s="149"/>
      <c r="S18" s="197"/>
      <c r="T18" s="150"/>
      <c r="U18" s="149"/>
      <c r="V18" s="373"/>
      <c r="W18" s="374"/>
      <c r="X18" s="373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</row>
    <row r="19" spans="1:34" ht="12.75">
      <c r="A19" s="410">
        <v>2.3</v>
      </c>
      <c r="B19" s="411">
        <v>2.3</v>
      </c>
      <c r="C19" s="379">
        <v>40</v>
      </c>
      <c r="D19" s="380">
        <v>4.8</v>
      </c>
      <c r="E19" s="183" t="s">
        <v>59</v>
      </c>
      <c r="F19" s="379">
        <v>40</v>
      </c>
      <c r="G19" s="380">
        <v>30.5</v>
      </c>
      <c r="H19" s="411">
        <v>2.3</v>
      </c>
      <c r="I19" s="411">
        <v>2.3</v>
      </c>
      <c r="J19" s="149"/>
      <c r="K19" s="374"/>
      <c r="L19" s="373"/>
      <c r="M19" s="329"/>
      <c r="N19" s="329"/>
      <c r="O19" s="286"/>
      <c r="P19" s="324"/>
      <c r="Q19" s="180"/>
      <c r="R19" s="328"/>
      <c r="S19" s="329"/>
      <c r="T19" s="330"/>
      <c r="U19" s="330"/>
      <c r="V19" s="373"/>
      <c r="W19" s="374"/>
      <c r="X19" s="373"/>
      <c r="Y19" s="379"/>
      <c r="Z19" s="380"/>
      <c r="AA19" s="402"/>
      <c r="AB19" s="325"/>
      <c r="AC19" s="180"/>
      <c r="AD19" s="330"/>
      <c r="AE19" s="330"/>
      <c r="AF19" s="330"/>
      <c r="AG19" s="330"/>
      <c r="AH19" s="217"/>
    </row>
    <row r="20" spans="1:34" ht="12.75">
      <c r="A20" s="410">
        <v>2.3</v>
      </c>
      <c r="B20" s="411">
        <v>2.3</v>
      </c>
      <c r="C20" s="379">
        <v>40</v>
      </c>
      <c r="D20" s="380">
        <v>4.6</v>
      </c>
      <c r="E20" s="166" t="s">
        <v>62</v>
      </c>
      <c r="F20" s="379">
        <v>40</v>
      </c>
      <c r="G20" s="380">
        <v>30.3</v>
      </c>
      <c r="H20" s="411">
        <v>2.3</v>
      </c>
      <c r="I20" s="411">
        <v>2.3</v>
      </c>
      <c r="J20" s="149"/>
      <c r="K20" s="374"/>
      <c r="L20" s="373"/>
      <c r="M20" s="329"/>
      <c r="N20" s="329"/>
      <c r="O20" s="328"/>
      <c r="P20" s="324"/>
      <c r="Q20" s="183"/>
      <c r="R20" s="328"/>
      <c r="S20" s="329"/>
      <c r="T20" s="330"/>
      <c r="U20" s="330"/>
      <c r="V20" s="373"/>
      <c r="W20" s="374"/>
      <c r="X20" s="373"/>
      <c r="Y20" s="379"/>
      <c r="Z20" s="380"/>
      <c r="AA20" s="402"/>
      <c r="AB20" s="325"/>
      <c r="AC20" s="183"/>
      <c r="AD20" s="330"/>
      <c r="AE20" s="330"/>
      <c r="AF20" s="330"/>
      <c r="AG20" s="330"/>
      <c r="AH20" s="149"/>
    </row>
    <row r="21" spans="1:34" ht="12.75">
      <c r="A21" s="410">
        <v>2.3</v>
      </c>
      <c r="B21" s="411">
        <v>2.3</v>
      </c>
      <c r="C21" s="411">
        <v>2.3</v>
      </c>
      <c r="D21" s="411">
        <v>2.3</v>
      </c>
      <c r="E21" s="180" t="s">
        <v>45</v>
      </c>
      <c r="F21" s="379">
        <v>40</v>
      </c>
      <c r="G21" s="380">
        <v>30.2</v>
      </c>
      <c r="H21" s="411">
        <v>2.3</v>
      </c>
      <c r="I21" s="411">
        <v>2.3</v>
      </c>
      <c r="J21" s="184"/>
      <c r="K21" s="374"/>
      <c r="L21" s="373"/>
      <c r="M21" s="329"/>
      <c r="N21" s="329"/>
      <c r="O21" s="328"/>
      <c r="P21" s="324"/>
      <c r="Q21" s="166"/>
      <c r="R21" s="328"/>
      <c r="S21" s="329"/>
      <c r="T21" s="330"/>
      <c r="U21" s="330"/>
      <c r="V21" s="373"/>
      <c r="W21" s="374"/>
      <c r="X21" s="373"/>
      <c r="Y21" s="379"/>
      <c r="Z21" s="380"/>
      <c r="AA21" s="330"/>
      <c r="AB21" s="330"/>
      <c r="AC21" s="166"/>
      <c r="AD21" s="330"/>
      <c r="AE21" s="330"/>
      <c r="AF21" s="330"/>
      <c r="AG21" s="330"/>
      <c r="AH21" s="149"/>
    </row>
    <row r="22" spans="1:34" ht="12.75">
      <c r="A22" s="149"/>
      <c r="B22" s="150"/>
      <c r="C22" s="196" t="s">
        <v>67</v>
      </c>
      <c r="D22" s="149"/>
      <c r="E22" s="203"/>
      <c r="F22" s="149"/>
      <c r="G22" s="197" t="s">
        <v>68</v>
      </c>
      <c r="H22" s="150"/>
      <c r="I22" s="149"/>
      <c r="J22" s="166"/>
      <c r="K22" s="374"/>
      <c r="L22" s="373"/>
      <c r="M22" s="329"/>
      <c r="N22" s="328"/>
      <c r="O22" s="328"/>
      <c r="P22" s="324"/>
      <c r="Q22" s="180"/>
      <c r="R22" s="328"/>
      <c r="S22" s="329"/>
      <c r="T22" s="329"/>
      <c r="U22" s="330"/>
      <c r="V22" s="373"/>
      <c r="W22" s="374"/>
      <c r="X22" s="373"/>
      <c r="Y22" s="379"/>
      <c r="Z22" s="380"/>
      <c r="AA22" s="330"/>
      <c r="AB22" s="330"/>
      <c r="AC22" s="180"/>
      <c r="AD22" s="330"/>
      <c r="AE22" s="330"/>
      <c r="AF22" s="330"/>
      <c r="AG22" s="330"/>
      <c r="AH22" s="184"/>
    </row>
    <row r="23" spans="1:34" ht="12.75">
      <c r="A23" s="410">
        <v>2.3</v>
      </c>
      <c r="B23" s="416">
        <v>3.3</v>
      </c>
      <c r="C23" s="330">
        <v>23.3</v>
      </c>
      <c r="D23" s="330">
        <v>23.5</v>
      </c>
      <c r="E23" s="180" t="s">
        <v>39</v>
      </c>
      <c r="F23" s="379">
        <v>40</v>
      </c>
      <c r="G23" s="380">
        <v>30.3</v>
      </c>
      <c r="H23" s="330">
        <v>23.4</v>
      </c>
      <c r="I23" s="416">
        <v>4.5</v>
      </c>
      <c r="J23" s="149"/>
      <c r="K23" s="374"/>
      <c r="L23" s="373"/>
      <c r="M23" s="220"/>
      <c r="N23" s="220"/>
      <c r="O23" s="220"/>
      <c r="P23" s="220"/>
      <c r="Q23" s="149"/>
      <c r="R23" s="149"/>
      <c r="S23" s="149"/>
      <c r="T23" s="149"/>
      <c r="U23" s="149"/>
      <c r="V23" s="373"/>
      <c r="W23" s="374"/>
      <c r="X23" s="373"/>
      <c r="Y23" s="149"/>
      <c r="Z23" s="150"/>
      <c r="AA23" s="196"/>
      <c r="AB23" s="149"/>
      <c r="AC23" s="203"/>
      <c r="AD23" s="149"/>
      <c r="AE23" s="197"/>
      <c r="AF23" s="150"/>
      <c r="AG23" s="149"/>
      <c r="AH23" s="166"/>
    </row>
    <row r="24" spans="1:34" ht="12.75">
      <c r="A24" s="416">
        <v>4.3</v>
      </c>
      <c r="B24" s="416">
        <v>3.5</v>
      </c>
      <c r="C24" s="416">
        <v>3.9</v>
      </c>
      <c r="D24" s="330">
        <v>23.5</v>
      </c>
      <c r="E24" s="183" t="s">
        <v>70</v>
      </c>
      <c r="F24" s="379">
        <v>40</v>
      </c>
      <c r="G24" s="380">
        <v>30.4</v>
      </c>
      <c r="H24" s="330">
        <v>24.2</v>
      </c>
      <c r="I24" s="416">
        <v>3.4</v>
      </c>
      <c r="J24" s="149"/>
      <c r="K24" s="374"/>
      <c r="L24" s="373"/>
      <c r="M24" s="291"/>
      <c r="N24" s="292"/>
      <c r="O24" s="293"/>
      <c r="P24" s="292"/>
      <c r="Q24" s="292"/>
      <c r="R24" s="294"/>
      <c r="S24" s="292"/>
      <c r="T24" s="294"/>
      <c r="U24" s="294"/>
      <c r="V24" s="373"/>
      <c r="W24" s="374"/>
      <c r="X24" s="373"/>
      <c r="Y24" s="406"/>
      <c r="Z24" s="406"/>
      <c r="AA24" s="407"/>
      <c r="AB24" s="408"/>
      <c r="AC24" s="180"/>
      <c r="AD24" s="406"/>
      <c r="AE24" s="406"/>
      <c r="AF24" s="406"/>
      <c r="AG24" s="406"/>
      <c r="AH24" s="149"/>
    </row>
    <row r="25" spans="1:34" ht="12.75">
      <c r="A25" s="416">
        <v>3.7</v>
      </c>
      <c r="B25" s="416">
        <v>3.9</v>
      </c>
      <c r="C25" s="379">
        <v>40</v>
      </c>
      <c r="D25" s="380">
        <v>29.5</v>
      </c>
      <c r="E25" s="166" t="s">
        <v>71</v>
      </c>
      <c r="F25" s="379">
        <v>40</v>
      </c>
      <c r="G25" s="380">
        <v>30.4</v>
      </c>
      <c r="H25" s="330">
        <v>23.5</v>
      </c>
      <c r="I25" s="416">
        <v>3.3</v>
      </c>
      <c r="J25" s="149"/>
      <c r="K25" s="374"/>
      <c r="L25" s="373"/>
      <c r="M25" s="295"/>
      <c r="N25" s="296"/>
      <c r="O25" s="297"/>
      <c r="P25" s="296"/>
      <c r="Q25" s="296"/>
      <c r="R25" s="296"/>
      <c r="S25" s="296"/>
      <c r="T25" s="296"/>
      <c r="U25" s="296"/>
      <c r="V25" s="373"/>
      <c r="W25" s="374"/>
      <c r="X25" s="373"/>
      <c r="Y25" s="406"/>
      <c r="Z25" s="406"/>
      <c r="AA25" s="406"/>
      <c r="AB25" s="409"/>
      <c r="AC25" s="183"/>
      <c r="AD25" s="406"/>
      <c r="AE25" s="406"/>
      <c r="AF25" s="406"/>
      <c r="AG25" s="406"/>
      <c r="AH25" s="149"/>
    </row>
    <row r="26" spans="1:34" ht="12.75">
      <c r="A26" s="416">
        <v>3</v>
      </c>
      <c r="B26" s="416">
        <v>3.5</v>
      </c>
      <c r="C26" s="330">
        <v>23.3</v>
      </c>
      <c r="D26" s="330">
        <v>23.5</v>
      </c>
      <c r="E26" s="180" t="s">
        <v>45</v>
      </c>
      <c r="F26" s="379">
        <v>40</v>
      </c>
      <c r="G26" s="380">
        <v>30.3</v>
      </c>
      <c r="H26" s="330">
        <v>23.4</v>
      </c>
      <c r="I26" s="416">
        <v>3.9</v>
      </c>
      <c r="J26" s="184"/>
      <c r="K26" s="374"/>
      <c r="L26" s="373"/>
      <c r="M26" s="298"/>
      <c r="N26" s="299"/>
      <c r="O26" s="293"/>
      <c r="P26" s="292"/>
      <c r="Q26" s="292"/>
      <c r="R26" s="294"/>
      <c r="S26" s="292"/>
      <c r="T26" s="294"/>
      <c r="U26" s="299"/>
      <c r="V26" s="373"/>
      <c r="W26" s="374"/>
      <c r="X26" s="373"/>
      <c r="Y26" s="406"/>
      <c r="Z26" s="406"/>
      <c r="AA26" s="406"/>
      <c r="AB26" s="409"/>
      <c r="AC26" s="166"/>
      <c r="AD26" s="406"/>
      <c r="AE26" s="406"/>
      <c r="AF26" s="406"/>
      <c r="AG26" s="406"/>
      <c r="AH26" s="149"/>
    </row>
    <row r="27" spans="1:34" ht="12.75">
      <c r="A27" s="220"/>
      <c r="B27" s="220"/>
      <c r="C27" s="220"/>
      <c r="D27" s="220"/>
      <c r="E27" s="149"/>
      <c r="F27" s="149"/>
      <c r="G27" s="149"/>
      <c r="H27" s="149"/>
      <c r="I27" s="149"/>
      <c r="J27" s="166"/>
      <c r="K27" s="374"/>
      <c r="L27" s="373"/>
      <c r="M27" s="298"/>
      <c r="N27" s="300"/>
      <c r="O27" s="297"/>
      <c r="P27" s="296"/>
      <c r="Q27" s="296"/>
      <c r="R27" s="296"/>
      <c r="S27" s="296"/>
      <c r="T27" s="296"/>
      <c r="U27" s="300"/>
      <c r="V27" s="373"/>
      <c r="W27" s="374"/>
      <c r="X27" s="373"/>
      <c r="Y27" s="406"/>
      <c r="Z27" s="406"/>
      <c r="AA27" s="406"/>
      <c r="AB27" s="409"/>
      <c r="AC27" s="180"/>
      <c r="AD27" s="406"/>
      <c r="AE27" s="406"/>
      <c r="AF27" s="406"/>
      <c r="AG27" s="406"/>
      <c r="AH27" s="184"/>
    </row>
    <row r="28" spans="1:34" ht="12.75">
      <c r="A28" s="207" t="s">
        <v>74</v>
      </c>
      <c r="B28" s="289">
        <f>SUM(K18:P26)</f>
        <v>0</v>
      </c>
      <c r="C28" s="209" t="s">
        <v>56</v>
      </c>
      <c r="D28" s="149" t="s">
        <v>75</v>
      </c>
      <c r="E28" s="150"/>
      <c r="F28" s="290">
        <f>B28+I28</f>
        <v>0</v>
      </c>
      <c r="G28" s="209" t="s">
        <v>56</v>
      </c>
      <c r="H28" s="210" t="s">
        <v>76</v>
      </c>
      <c r="I28" s="289">
        <f>SUM(Q18:V26)</f>
        <v>0</v>
      </c>
      <c r="J28" s="149"/>
      <c r="K28" s="374"/>
      <c r="L28" s="373"/>
      <c r="M28" s="149"/>
      <c r="N28" s="298"/>
      <c r="O28" s="293"/>
      <c r="P28" s="301"/>
      <c r="Q28" s="243"/>
      <c r="R28" s="243"/>
      <c r="S28" s="243"/>
      <c r="T28" s="293"/>
      <c r="U28" s="298"/>
      <c r="V28" s="373"/>
      <c r="W28" s="374"/>
      <c r="X28" s="373"/>
      <c r="Y28" s="220"/>
      <c r="Z28" s="220"/>
      <c r="AA28" s="220"/>
      <c r="AB28" s="220"/>
      <c r="AC28" s="149"/>
      <c r="AD28" s="149"/>
      <c r="AE28" s="149"/>
      <c r="AF28" s="149"/>
      <c r="AG28" s="149"/>
      <c r="AH28" s="166"/>
    </row>
    <row r="29" spans="1:34" ht="12.75">
      <c r="A29" s="149"/>
      <c r="B29" s="149"/>
      <c r="C29" s="149"/>
      <c r="D29" s="149"/>
      <c r="E29" s="149"/>
      <c r="F29" s="150"/>
      <c r="G29" s="149"/>
      <c r="H29" s="149"/>
      <c r="I29" s="149"/>
      <c r="J29" s="149"/>
      <c r="K29" s="374"/>
      <c r="L29" s="373"/>
      <c r="M29" s="149"/>
      <c r="N29" s="298"/>
      <c r="O29" s="297"/>
      <c r="P29" s="297"/>
      <c r="Q29" s="244"/>
      <c r="R29" s="245"/>
      <c r="S29" s="246"/>
      <c r="T29" s="297"/>
      <c r="U29" s="298"/>
      <c r="V29" s="373"/>
      <c r="W29" s="374"/>
      <c r="X29" s="373"/>
      <c r="Y29" s="207"/>
      <c r="Z29" s="289"/>
      <c r="AA29" s="209"/>
      <c r="AB29" s="149"/>
      <c r="AC29" s="150"/>
      <c r="AD29" s="290"/>
      <c r="AE29" s="209"/>
      <c r="AF29" s="210"/>
      <c r="AG29" s="289"/>
      <c r="AH29" s="149"/>
    </row>
    <row r="30" spans="1:34" ht="14.25">
      <c r="A30" s="229" t="s">
        <v>77</v>
      </c>
      <c r="B30" s="230" t="e">
        <f>B52</f>
        <v>#DIV/0!</v>
      </c>
      <c r="C30" s="231" t="s">
        <v>78</v>
      </c>
      <c r="D30" s="149" t="s">
        <v>79</v>
      </c>
      <c r="E30" s="149"/>
      <c r="F30" s="418">
        <f>F16+F28</f>
        <v>0</v>
      </c>
      <c r="G30" s="181" t="s">
        <v>56</v>
      </c>
      <c r="H30" s="229" t="s">
        <v>80</v>
      </c>
      <c r="I30" s="230" t="e">
        <f>B50</f>
        <v>#DIV/0!</v>
      </c>
      <c r="J30" s="231"/>
      <c r="K30" s="374"/>
      <c r="L30" s="373"/>
      <c r="M30" s="149"/>
      <c r="N30" s="302"/>
      <c r="O30" s="303"/>
      <c r="P30" s="301"/>
      <c r="Q30" s="149"/>
      <c r="R30" s="245"/>
      <c r="S30" s="246"/>
      <c r="T30" s="293"/>
      <c r="U30" s="304"/>
      <c r="V30" s="373"/>
      <c r="W30" s="374"/>
      <c r="X30" s="373"/>
      <c r="Y30" s="149"/>
      <c r="Z30" s="149"/>
      <c r="AA30" s="149"/>
      <c r="AB30" s="149"/>
      <c r="AC30" s="149"/>
      <c r="AD30" s="150"/>
      <c r="AE30" s="149"/>
      <c r="AF30" s="149"/>
      <c r="AG30" s="149"/>
      <c r="AH30" s="149"/>
    </row>
    <row r="31" spans="1:34" ht="14.25">
      <c r="A31" s="232"/>
      <c r="B31" s="149"/>
      <c r="C31" s="149"/>
      <c r="D31" s="149"/>
      <c r="E31" s="149"/>
      <c r="F31" s="233"/>
      <c r="G31" s="150"/>
      <c r="H31" s="149"/>
      <c r="I31" s="149"/>
      <c r="J31" s="149"/>
      <c r="K31" s="374"/>
      <c r="L31" s="373"/>
      <c r="M31" s="149"/>
      <c r="N31" s="297"/>
      <c r="O31" s="297"/>
      <c r="P31" s="297"/>
      <c r="Q31" s="149"/>
      <c r="R31" s="245"/>
      <c r="S31" s="247"/>
      <c r="T31" s="297"/>
      <c r="U31" s="305"/>
      <c r="V31" s="373"/>
      <c r="W31" s="374"/>
      <c r="X31" s="373"/>
      <c r="Y31" s="229"/>
      <c r="Z31" s="230"/>
      <c r="AA31" s="231"/>
      <c r="AB31" s="149"/>
      <c r="AC31" s="149"/>
      <c r="AD31" s="326"/>
      <c r="AE31" s="181"/>
      <c r="AF31" s="229"/>
      <c r="AG31" s="230"/>
      <c r="AH31" s="231"/>
    </row>
    <row r="32" spans="1:34" ht="14.25">
      <c r="A32" s="149"/>
      <c r="B32" s="149"/>
      <c r="C32" s="149"/>
      <c r="D32" s="166" t="s">
        <v>81</v>
      </c>
      <c r="E32" s="234" t="e">
        <f>I30-B30</f>
        <v>#DIV/0!</v>
      </c>
      <c r="F32" s="235">
        <f>(B16+B28)-(I16+I28)</f>
        <v>0</v>
      </c>
      <c r="G32" s="236" t="s">
        <v>56</v>
      </c>
      <c r="H32" s="277" t="s">
        <v>82</v>
      </c>
      <c r="I32" s="278">
        <f>AS28/3.7</f>
        <v>0</v>
      </c>
      <c r="J32" s="309"/>
      <c r="K32" s="374"/>
      <c r="L32" s="373"/>
      <c r="M32" s="149"/>
      <c r="N32" s="293"/>
      <c r="O32" s="301"/>
      <c r="P32" s="299"/>
      <c r="Q32" s="149"/>
      <c r="R32" s="149"/>
      <c r="S32" s="149"/>
      <c r="T32" s="149"/>
      <c r="U32" s="149"/>
      <c r="V32" s="373"/>
      <c r="W32" s="374"/>
      <c r="X32" s="373"/>
      <c r="Y32" s="232"/>
      <c r="Z32" s="149"/>
      <c r="AA32" s="149"/>
      <c r="AB32" s="149"/>
      <c r="AC32" s="149"/>
      <c r="AD32" s="233"/>
      <c r="AE32" s="150"/>
      <c r="AF32" s="149"/>
      <c r="AG32" s="149"/>
      <c r="AH32" s="149"/>
    </row>
    <row r="33" spans="1:34" ht="12.75">
      <c r="A33" s="149"/>
      <c r="B33" s="149"/>
      <c r="C33" s="149"/>
      <c r="D33" s="166"/>
      <c r="E33" s="234"/>
      <c r="F33" s="235"/>
      <c r="G33" s="236"/>
      <c r="H33" s="277" t="s">
        <v>91</v>
      </c>
      <c r="I33" s="278">
        <f>AS28/1.23</f>
        <v>0</v>
      </c>
      <c r="J33" s="149"/>
      <c r="K33" s="374"/>
      <c r="L33" s="373"/>
      <c r="M33" s="149"/>
      <c r="N33" s="297"/>
      <c r="O33" s="297"/>
      <c r="P33" s="300"/>
      <c r="Q33" s="149"/>
      <c r="R33" s="149"/>
      <c r="S33" s="149"/>
      <c r="T33" s="149"/>
      <c r="U33" s="149"/>
      <c r="V33" s="373"/>
      <c r="W33" s="374"/>
      <c r="X33" s="373"/>
      <c r="Y33" s="149"/>
      <c r="Z33" s="149"/>
      <c r="AA33" s="149"/>
      <c r="AB33" s="166"/>
      <c r="AC33" s="234"/>
      <c r="AD33" s="235"/>
      <c r="AE33" s="236"/>
      <c r="AF33" s="277"/>
      <c r="AG33" s="278"/>
      <c r="AH33" s="309"/>
    </row>
    <row r="34" spans="1:34" ht="12.75">
      <c r="A34" s="291" t="s">
        <v>93</v>
      </c>
      <c r="B34" s="292" t="s">
        <v>94</v>
      </c>
      <c r="C34" s="293" t="s">
        <v>95</v>
      </c>
      <c r="D34" s="292" t="s">
        <v>96</v>
      </c>
      <c r="E34" s="292" t="s">
        <v>97</v>
      </c>
      <c r="F34" s="294" t="s">
        <v>98</v>
      </c>
      <c r="G34" s="292" t="s">
        <v>99</v>
      </c>
      <c r="H34" s="294" t="s">
        <v>100</v>
      </c>
      <c r="I34" s="294" t="s">
        <v>101</v>
      </c>
      <c r="J34" s="153"/>
      <c r="K34" s="374"/>
      <c r="L34" s="373"/>
      <c r="M34" s="149"/>
      <c r="N34" s="149"/>
      <c r="O34" s="149"/>
      <c r="P34" s="149"/>
      <c r="Q34" s="149"/>
      <c r="R34" s="298"/>
      <c r="S34" s="149"/>
      <c r="T34" s="149"/>
      <c r="U34" s="149"/>
      <c r="V34" s="373"/>
      <c r="W34" s="374"/>
      <c r="X34" s="373"/>
      <c r="Y34" s="149"/>
      <c r="Z34" s="149"/>
      <c r="AA34" s="149"/>
      <c r="AB34" s="166"/>
      <c r="AC34" s="234"/>
      <c r="AD34" s="235"/>
      <c r="AE34" s="236"/>
      <c r="AF34" s="277"/>
      <c r="AG34" s="278"/>
      <c r="AH34" s="149"/>
    </row>
    <row r="35" spans="1:34" ht="12.75">
      <c r="A35" s="295">
        <v>28</v>
      </c>
      <c r="B35" s="296">
        <v>0</v>
      </c>
      <c r="C35" s="297">
        <v>7</v>
      </c>
      <c r="D35" s="296">
        <v>59.7</v>
      </c>
      <c r="E35" s="296">
        <v>141.2</v>
      </c>
      <c r="F35" s="296">
        <v>117.7</v>
      </c>
      <c r="G35" s="296">
        <v>126.6</v>
      </c>
      <c r="H35" s="296">
        <v>37.7</v>
      </c>
      <c r="I35" s="296">
        <v>0</v>
      </c>
      <c r="J35" s="149"/>
      <c r="K35" s="374"/>
      <c r="L35" s="373"/>
      <c r="V35" s="373"/>
      <c r="W35" s="374"/>
      <c r="X35" s="373"/>
      <c r="Y35" s="291"/>
      <c r="Z35" s="292"/>
      <c r="AA35" s="293"/>
      <c r="AB35" s="292"/>
      <c r="AC35" s="292"/>
      <c r="AD35" s="294"/>
      <c r="AE35" s="292"/>
      <c r="AF35" s="294"/>
      <c r="AG35" s="294"/>
      <c r="AH35" s="153"/>
    </row>
    <row r="36" spans="1:34" ht="12.75">
      <c r="A36" s="298" t="s">
        <v>105</v>
      </c>
      <c r="B36" s="299" t="s">
        <v>106</v>
      </c>
      <c r="C36" s="293" t="s">
        <v>107</v>
      </c>
      <c r="D36" s="292" t="s">
        <v>108</v>
      </c>
      <c r="E36" s="292" t="s">
        <v>109</v>
      </c>
      <c r="F36" s="294" t="s">
        <v>110</v>
      </c>
      <c r="G36" s="292" t="s">
        <v>111</v>
      </c>
      <c r="H36" s="294" t="s">
        <v>112</v>
      </c>
      <c r="I36" s="299" t="s">
        <v>0</v>
      </c>
      <c r="J36" s="150"/>
      <c r="K36" s="374"/>
      <c r="L36" s="373"/>
      <c r="V36" s="373"/>
      <c r="W36" s="374"/>
      <c r="X36" s="373"/>
      <c r="Y36" s="295"/>
      <c r="Z36" s="296"/>
      <c r="AA36" s="297"/>
      <c r="AB36" s="296"/>
      <c r="AC36" s="296"/>
      <c r="AD36" s="296"/>
      <c r="AE36" s="296"/>
      <c r="AF36" s="296"/>
      <c r="AG36" s="296"/>
      <c r="AH36" s="149"/>
    </row>
    <row r="37" spans="1:34" ht="12.75">
      <c r="A37" s="298"/>
      <c r="B37" s="300">
        <v>0</v>
      </c>
      <c r="C37" s="297">
        <v>3.5</v>
      </c>
      <c r="D37" s="296">
        <v>59.7</v>
      </c>
      <c r="E37" s="296">
        <v>141.2</v>
      </c>
      <c r="F37" s="296">
        <v>117.7</v>
      </c>
      <c r="G37" s="296">
        <v>126.6</v>
      </c>
      <c r="H37" s="296">
        <v>36.7</v>
      </c>
      <c r="I37" s="300">
        <v>0</v>
      </c>
      <c r="J37" s="149"/>
      <c r="K37" s="374"/>
      <c r="L37" s="373"/>
      <c r="V37" s="373"/>
      <c r="W37" s="374"/>
      <c r="X37" s="373"/>
      <c r="Y37" s="298"/>
      <c r="Z37" s="299"/>
      <c r="AA37" s="293"/>
      <c r="AB37" s="292"/>
      <c r="AC37" s="292"/>
      <c r="AD37" s="294"/>
      <c r="AE37" s="292"/>
      <c r="AF37" s="294"/>
      <c r="AG37" s="299"/>
      <c r="AH37" s="150"/>
    </row>
    <row r="38" spans="1:34" ht="12.75">
      <c r="A38" s="149"/>
      <c r="B38" s="298"/>
      <c r="C38" s="293" t="s">
        <v>115</v>
      </c>
      <c r="D38" s="301" t="s">
        <v>116</v>
      </c>
      <c r="E38" s="243" t="s">
        <v>117</v>
      </c>
      <c r="F38" s="243" t="s">
        <v>118</v>
      </c>
      <c r="G38" s="243" t="s">
        <v>119</v>
      </c>
      <c r="H38" s="293" t="s">
        <v>120</v>
      </c>
      <c r="I38" s="298"/>
      <c r="J38" s="149"/>
      <c r="Y38" s="298"/>
      <c r="Z38" s="300"/>
      <c r="AA38" s="297"/>
      <c r="AB38" s="296"/>
      <c r="AC38" s="296"/>
      <c r="AD38" s="296"/>
      <c r="AE38" s="296"/>
      <c r="AF38" s="296"/>
      <c r="AG38" s="300"/>
      <c r="AH38" s="149"/>
    </row>
    <row r="39" spans="1:34" ht="12.75">
      <c r="A39" s="149"/>
      <c r="B39" s="298"/>
      <c r="C39" s="297">
        <v>4</v>
      </c>
      <c r="D39" s="297">
        <v>0</v>
      </c>
      <c r="E39" s="244">
        <f>AT28</f>
        <v>0</v>
      </c>
      <c r="F39" s="245" t="s">
        <v>122</v>
      </c>
      <c r="G39" s="246">
        <f>SUM(AS6:AS26)</f>
        <v>0</v>
      </c>
      <c r="H39" s="297">
        <f>40-13</f>
        <v>27</v>
      </c>
      <c r="I39" s="298"/>
      <c r="J39" s="149"/>
      <c r="Y39" s="149"/>
      <c r="Z39" s="298"/>
      <c r="AA39" s="293"/>
      <c r="AB39" s="301"/>
      <c r="AC39" s="243"/>
      <c r="AD39" s="243"/>
      <c r="AE39" s="243"/>
      <c r="AF39" s="293"/>
      <c r="AG39" s="298"/>
      <c r="AH39" s="149"/>
    </row>
    <row r="40" spans="1:34" ht="12.75">
      <c r="A40" s="149"/>
      <c r="B40" s="386" t="s">
        <v>124</v>
      </c>
      <c r="C40" s="303" t="s">
        <v>125</v>
      </c>
      <c r="D40" s="301" t="s">
        <v>126</v>
      </c>
      <c r="E40" s="149"/>
      <c r="F40" s="245" t="s">
        <v>127</v>
      </c>
      <c r="G40" s="246">
        <f>AE61</f>
        <v>0</v>
      </c>
      <c r="H40" s="293" t="s">
        <v>128</v>
      </c>
      <c r="I40" s="304">
        <f>H39+H41+C35+C37+C39</f>
        <v>68.5</v>
      </c>
      <c r="J40" s="149"/>
      <c r="Y40" s="149"/>
      <c r="Z40" s="298"/>
      <c r="AA40" s="297"/>
      <c r="AB40" s="297"/>
      <c r="AC40" s="244"/>
      <c r="AD40" s="245"/>
      <c r="AE40" s="246"/>
      <c r="AF40" s="297"/>
      <c r="AG40" s="298"/>
      <c r="AH40" s="149"/>
    </row>
    <row r="41" spans="1:34" ht="12.75">
      <c r="A41" s="149"/>
      <c r="B41" s="297">
        <v>0.5</v>
      </c>
      <c r="C41" s="297">
        <v>1.5</v>
      </c>
      <c r="D41" s="297">
        <f>20.5-3.2</f>
        <v>17.3</v>
      </c>
      <c r="E41" s="149"/>
      <c r="F41" s="245" t="s">
        <v>130</v>
      </c>
      <c r="G41" s="247">
        <f>G39+G40</f>
        <v>0</v>
      </c>
      <c r="H41" s="297">
        <f>40.5-13.5</f>
        <v>27</v>
      </c>
      <c r="I41" s="305">
        <f>D39+D41+C43</f>
        <v>17.8</v>
      </c>
      <c r="J41" s="149"/>
      <c r="Y41" s="149"/>
      <c r="Z41" s="386"/>
      <c r="AA41" s="303"/>
      <c r="AB41" s="301"/>
      <c r="AC41" s="149"/>
      <c r="AD41" s="245"/>
      <c r="AE41" s="246"/>
      <c r="AF41" s="293"/>
      <c r="AG41" s="304"/>
      <c r="AH41" s="149"/>
    </row>
    <row r="42" spans="1:34" ht="12.75">
      <c r="A42" s="149"/>
      <c r="B42" s="293" t="s">
        <v>132</v>
      </c>
      <c r="C42" s="301" t="s">
        <v>133</v>
      </c>
      <c r="D42" s="299" t="s">
        <v>134</v>
      </c>
      <c r="E42" s="149"/>
      <c r="F42" s="149"/>
      <c r="G42" s="149"/>
      <c r="H42" s="149"/>
      <c r="I42" s="149"/>
      <c r="J42" s="149"/>
      <c r="Y42" s="149"/>
      <c r="Z42" s="297"/>
      <c r="AA42" s="297"/>
      <c r="AB42" s="297"/>
      <c r="AC42" s="149"/>
      <c r="AD42" s="245"/>
      <c r="AE42" s="247"/>
      <c r="AF42" s="297"/>
      <c r="AG42" s="305"/>
      <c r="AH42" s="149"/>
    </row>
    <row r="43" spans="1:34" ht="12.75">
      <c r="A43" s="149"/>
      <c r="B43" s="297">
        <v>0.5</v>
      </c>
      <c r="C43" s="297">
        <v>0.5</v>
      </c>
      <c r="D43" s="300">
        <v>0</v>
      </c>
      <c r="E43" s="149"/>
      <c r="F43" s="149"/>
      <c r="G43" s="149"/>
      <c r="H43" s="149"/>
      <c r="I43" s="149"/>
      <c r="J43" s="149"/>
      <c r="Y43" s="149"/>
      <c r="Z43" s="293"/>
      <c r="AA43" s="301"/>
      <c r="AB43" s="299"/>
      <c r="AC43" s="149"/>
      <c r="AD43" s="149"/>
      <c r="AE43" s="149"/>
      <c r="AF43" s="149"/>
      <c r="AG43" s="149"/>
      <c r="AH43" s="149"/>
    </row>
    <row r="44" spans="1:34" ht="12.75">
      <c r="A44" s="149"/>
      <c r="B44" s="149"/>
      <c r="C44" s="149"/>
      <c r="D44" s="149"/>
      <c r="E44" s="149"/>
      <c r="F44" s="298"/>
      <c r="G44" s="149"/>
      <c r="H44" s="149"/>
      <c r="I44" s="149"/>
      <c r="J44" s="149"/>
      <c r="Y44" s="149"/>
      <c r="Z44" s="297"/>
      <c r="AA44" s="297"/>
      <c r="AB44" s="300"/>
      <c r="AC44" s="149"/>
      <c r="AD44" s="149"/>
      <c r="AE44" s="149"/>
      <c r="AF44" s="149"/>
      <c r="AG44" s="149"/>
      <c r="AH44" s="149"/>
    </row>
    <row r="45" spans="1:34" ht="12.75">
      <c r="A45" s="209"/>
      <c r="B45" s="249" t="s">
        <v>138</v>
      </c>
      <c r="C45" s="306">
        <f>B35+D35+E35+F35+G35+H35+I35+D37+E37+F37+G37+H37</f>
        <v>964.8000000000001</v>
      </c>
      <c r="D45" s="150"/>
      <c r="E45" s="249" t="s">
        <v>139</v>
      </c>
      <c r="F45" s="307">
        <f>C35+C37+C39+D39+D41+H39+H41+I37+C41+C43</f>
        <v>87.8</v>
      </c>
      <c r="G45" s="248"/>
      <c r="H45" s="249" t="s">
        <v>140</v>
      </c>
      <c r="I45" s="308">
        <f>A35</f>
        <v>28</v>
      </c>
      <c r="J45" s="149"/>
      <c r="Y45" s="149"/>
      <c r="Z45" s="149"/>
      <c r="AA45" s="149"/>
      <c r="AB45" s="149"/>
      <c r="AC45" s="149"/>
      <c r="AD45" s="298"/>
      <c r="AE45" s="149"/>
      <c r="AF45" s="149"/>
      <c r="AG45" s="149"/>
      <c r="AH45" s="149"/>
    </row>
    <row r="46" spans="1:34" ht="12.75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Y46" s="209"/>
      <c r="Z46" s="249"/>
      <c r="AA46" s="306"/>
      <c r="AB46" s="150"/>
      <c r="AC46" s="249"/>
      <c r="AD46" s="307"/>
      <c r="AE46" s="248"/>
      <c r="AF46" s="249"/>
      <c r="AG46" s="308"/>
      <c r="AH46" s="149"/>
    </row>
    <row r="47" spans="1:34" ht="12.75">
      <c r="A47" s="149"/>
      <c r="B47" s="150"/>
      <c r="C47" s="149"/>
      <c r="D47" s="149"/>
      <c r="E47" s="149"/>
      <c r="F47" s="149"/>
      <c r="G47" s="149"/>
      <c r="H47" s="149"/>
      <c r="J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</row>
    <row r="48" spans="1:34" ht="12.75">
      <c r="A48" s="252" t="s">
        <v>144</v>
      </c>
      <c r="B48" s="253">
        <v>1</v>
      </c>
      <c r="C48" s="259" t="s">
        <v>145</v>
      </c>
      <c r="D48" s="307">
        <f>AC25+Y61+Y66</f>
        <v>0</v>
      </c>
      <c r="E48" s="149"/>
      <c r="F48" s="257" t="s">
        <v>146</v>
      </c>
      <c r="G48" s="310">
        <f>AK42</f>
        <v>0</v>
      </c>
      <c r="H48" s="149"/>
      <c r="I48" s="149"/>
      <c r="J48" s="149"/>
      <c r="Y48" s="149"/>
      <c r="Z48" s="150"/>
      <c r="AA48" s="149"/>
      <c r="AB48" s="149"/>
      <c r="AC48" s="149"/>
      <c r="AD48" s="149"/>
      <c r="AE48" s="149"/>
      <c r="AF48" s="149"/>
      <c r="AH48" s="149"/>
    </row>
    <row r="49" spans="1:34" ht="12.75">
      <c r="A49" s="254">
        <f>D48-D48*(B48-1.025)/1.025</f>
        <v>0</v>
      </c>
      <c r="B49" s="255"/>
      <c r="C49" s="259" t="s">
        <v>148</v>
      </c>
      <c r="D49" s="310" t="e">
        <f>D51/D48</f>
        <v>#DIV/0!</v>
      </c>
      <c r="E49" s="149"/>
      <c r="F49" s="259" t="s">
        <v>149</v>
      </c>
      <c r="G49" s="307">
        <f>AJ42*100</f>
        <v>0</v>
      </c>
      <c r="H49" s="149"/>
      <c r="I49" s="256" t="s">
        <v>150</v>
      </c>
      <c r="J49" s="149"/>
      <c r="Y49" s="252"/>
      <c r="Z49" s="253"/>
      <c r="AA49" s="259"/>
      <c r="AB49" s="307"/>
      <c r="AC49" s="149"/>
      <c r="AD49" s="257"/>
      <c r="AE49" s="310"/>
      <c r="AF49" s="149"/>
      <c r="AG49" s="149"/>
      <c r="AH49" s="149"/>
    </row>
    <row r="50" spans="1:34" ht="12.75">
      <c r="A50" s="257" t="s">
        <v>152</v>
      </c>
      <c r="B50" s="258" t="e">
        <f>B51+I51/2</f>
        <v>#DIV/0!</v>
      </c>
      <c r="C50" s="259" t="s">
        <v>153</v>
      </c>
      <c r="D50" s="311">
        <f>AD25+AA61+AA66</f>
        <v>0</v>
      </c>
      <c r="E50" s="149"/>
      <c r="F50" s="259" t="s">
        <v>8</v>
      </c>
      <c r="G50" s="307">
        <f>AI42</f>
        <v>0</v>
      </c>
      <c r="H50" s="259" t="s">
        <v>154</v>
      </c>
      <c r="I50" s="317">
        <f>AH42</f>
        <v>0</v>
      </c>
      <c r="J50" s="149"/>
      <c r="Y50" s="254"/>
      <c r="Z50" s="255"/>
      <c r="AA50" s="259"/>
      <c r="AB50" s="310"/>
      <c r="AC50" s="149"/>
      <c r="AD50" s="259"/>
      <c r="AE50" s="307"/>
      <c r="AF50" s="149"/>
      <c r="AG50" s="256"/>
      <c r="AH50" s="149"/>
    </row>
    <row r="51" spans="1:34" ht="12.75">
      <c r="A51" s="259" t="s">
        <v>156</v>
      </c>
      <c r="B51" s="253">
        <f>AH45</f>
        <v>0</v>
      </c>
      <c r="C51" s="259" t="s">
        <v>157</v>
      </c>
      <c r="D51" s="307">
        <f>AE25+AC61+AC66</f>
        <v>0</v>
      </c>
      <c r="E51" s="210" t="s">
        <v>158</v>
      </c>
      <c r="F51" s="259" t="s">
        <v>12</v>
      </c>
      <c r="G51" s="314">
        <f>AM42</f>
        <v>0</v>
      </c>
      <c r="H51" s="259" t="s">
        <v>159</v>
      </c>
      <c r="I51" s="318" t="e">
        <f>((D50+I56)/G49-G52)</f>
        <v>#DIV/0!</v>
      </c>
      <c r="J51" s="149"/>
      <c r="Y51" s="257"/>
      <c r="Z51" s="258"/>
      <c r="AA51" s="259"/>
      <c r="AB51" s="311"/>
      <c r="AC51" s="149"/>
      <c r="AD51" s="259"/>
      <c r="AE51" s="307"/>
      <c r="AF51" s="259"/>
      <c r="AG51" s="317"/>
      <c r="AH51" s="149"/>
    </row>
    <row r="52" spans="1:34" ht="12.75">
      <c r="A52" s="260" t="s">
        <v>161</v>
      </c>
      <c r="B52" s="258" t="e">
        <f>B53+(10.8*I51/84.9)</f>
        <v>#DIV/0!</v>
      </c>
      <c r="C52" s="259" t="s">
        <v>162</v>
      </c>
      <c r="D52" s="310" t="e">
        <f>G48-D49</f>
        <v>#DIV/0!</v>
      </c>
      <c r="E52" s="149"/>
      <c r="F52" s="259" t="s">
        <v>13</v>
      </c>
      <c r="G52" s="310">
        <f>AN42</f>
        <v>0</v>
      </c>
      <c r="H52" s="259" t="s">
        <v>163</v>
      </c>
      <c r="I52" s="318" t="e">
        <f>I50+I51/2</f>
        <v>#DIV/0!</v>
      </c>
      <c r="J52" s="149"/>
      <c r="Y52" s="259"/>
      <c r="Z52" s="253"/>
      <c r="AA52" s="259"/>
      <c r="AB52" s="307"/>
      <c r="AC52" s="210"/>
      <c r="AD52" s="259"/>
      <c r="AE52" s="314"/>
      <c r="AF52" s="259"/>
      <c r="AG52" s="318"/>
      <c r="AH52" s="149"/>
    </row>
    <row r="53" spans="1:34" ht="12.75">
      <c r="A53" s="261" t="s">
        <v>165</v>
      </c>
      <c r="B53" s="258" t="e">
        <f>B51-I51/2</f>
        <v>#DIV/0!</v>
      </c>
      <c r="C53" s="259" t="s">
        <v>166</v>
      </c>
      <c r="D53" s="310" t="e">
        <f>D52-188/D48</f>
        <v>#DIV/0!</v>
      </c>
      <c r="E53" s="210"/>
      <c r="F53" s="319" t="s">
        <v>167</v>
      </c>
      <c r="G53" s="315">
        <f>AL42</f>
        <v>0</v>
      </c>
      <c r="H53" s="259" t="s">
        <v>168</v>
      </c>
      <c r="I53" s="318" t="e">
        <f>I50-I51/2</f>
        <v>#DIV/0!</v>
      </c>
      <c r="J53" s="149"/>
      <c r="Y53" s="260"/>
      <c r="Z53" s="258"/>
      <c r="AA53" s="259"/>
      <c r="AB53" s="310"/>
      <c r="AC53" s="149"/>
      <c r="AD53" s="259"/>
      <c r="AE53" s="310"/>
      <c r="AF53" s="259"/>
      <c r="AG53" s="318"/>
      <c r="AH53" s="149"/>
    </row>
    <row r="54" spans="1:34" ht="12.75">
      <c r="A54" s="149"/>
      <c r="B54" s="149"/>
      <c r="C54" s="259" t="s">
        <v>170</v>
      </c>
      <c r="D54" s="312" t="e">
        <f>D53/G53</f>
        <v>#DIV/0!</v>
      </c>
      <c r="E54" s="205"/>
      <c r="F54" s="320" t="s">
        <v>171</v>
      </c>
      <c r="G54" s="316">
        <f>AO42</f>
        <v>0</v>
      </c>
      <c r="H54" s="149"/>
      <c r="I54" s="149"/>
      <c r="J54" s="149"/>
      <c r="Y54" s="261"/>
      <c r="Z54" s="258"/>
      <c r="AA54" s="259"/>
      <c r="AB54" s="310"/>
      <c r="AC54" s="210"/>
      <c r="AD54" s="319"/>
      <c r="AE54" s="315"/>
      <c r="AF54" s="259"/>
      <c r="AG54" s="318"/>
      <c r="AH54" s="149"/>
    </row>
    <row r="55" spans="1:34" ht="13.5" thickBot="1">
      <c r="A55" s="203"/>
      <c r="B55" s="203"/>
      <c r="C55" s="259" t="s">
        <v>173</v>
      </c>
      <c r="D55" s="313" t="e">
        <f>G54/D53</f>
        <v>#DIV/0!</v>
      </c>
      <c r="E55" s="205"/>
      <c r="F55" s="320" t="s">
        <v>174</v>
      </c>
      <c r="G55" s="315">
        <f>AQ42</f>
        <v>0</v>
      </c>
      <c r="J55" s="203"/>
      <c r="Y55" s="149"/>
      <c r="Z55" s="149"/>
      <c r="AA55" s="259"/>
      <c r="AB55" s="312"/>
      <c r="AC55" s="205"/>
      <c r="AD55" s="320"/>
      <c r="AE55" s="316"/>
      <c r="AF55" s="149"/>
      <c r="AG55" s="149"/>
      <c r="AH55" s="149"/>
    </row>
    <row r="56" spans="1:34" ht="13.5" thickBot="1">
      <c r="A56" s="203"/>
      <c r="B56" s="203"/>
      <c r="C56" s="259" t="s">
        <v>176</v>
      </c>
      <c r="D56" s="313" t="e">
        <f>G55/D53</f>
        <v>#DIV/0!</v>
      </c>
      <c r="E56" s="205"/>
      <c r="F56" s="205"/>
      <c r="G56" s="149"/>
      <c r="H56" s="376" t="s">
        <v>177</v>
      </c>
      <c r="I56" s="375">
        <v>0</v>
      </c>
      <c r="J56" s="149"/>
      <c r="Y56" s="203"/>
      <c r="Z56" s="203"/>
      <c r="AA56" s="259"/>
      <c r="AB56" s="313"/>
      <c r="AC56" s="205"/>
      <c r="AD56" s="320"/>
      <c r="AE56" s="315"/>
      <c r="AH56" s="203"/>
    </row>
    <row r="57" spans="1:34" ht="13.5" thickBot="1">
      <c r="A57" s="262"/>
      <c r="B57" s="262"/>
      <c r="C57" s="152"/>
      <c r="D57" s="152"/>
      <c r="E57" s="152"/>
      <c r="F57" s="152"/>
      <c r="G57" s="152"/>
      <c r="H57" s="152"/>
      <c r="I57" s="152"/>
      <c r="J57" s="152"/>
      <c r="Y57" s="203"/>
      <c r="Z57" s="203"/>
      <c r="AA57" s="259"/>
      <c r="AB57" s="313"/>
      <c r="AC57" s="205"/>
      <c r="AD57" s="205"/>
      <c r="AE57" s="149"/>
      <c r="AF57" s="376"/>
      <c r="AG57" s="375"/>
      <c r="AH57" s="149"/>
    </row>
  </sheetData>
  <printOptions gridLines="1"/>
  <pageMargins left="0.75" right="0.75" top="1" bottom="1" header="0.5" footer="0.5"/>
  <pageSetup horizontalDpi="240" verticalDpi="240" orientation="portrait" paperSize="9" r:id="rId1"/>
  <headerFooter alignWithMargins="0">
    <oddHeader>&amp;C&amp;A</oddHeader>
    <oddFooter>&amp;CСтр.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V50"/>
  <sheetViews>
    <sheetView workbookViewId="0" topLeftCell="A1">
      <selection activeCell="AV12" sqref="AV12"/>
    </sheetView>
  </sheetViews>
  <sheetFormatPr defaultColWidth="9.00390625" defaultRowHeight="12.75"/>
  <cols>
    <col min="1" max="1" width="4.00390625" style="0" customWidth="1"/>
    <col min="2" max="3" width="4.625" style="0" customWidth="1"/>
    <col min="4" max="4" width="2.00390625" style="0" customWidth="1"/>
    <col min="5" max="5" width="4.00390625" style="0" customWidth="1"/>
    <col min="6" max="6" width="5.00390625" style="0" customWidth="1"/>
    <col min="7" max="7" width="4.625" style="0" customWidth="1"/>
    <col min="8" max="8" width="2.00390625" style="0" customWidth="1"/>
    <col min="9" max="9" width="4.00390625" style="0" customWidth="1"/>
    <col min="10" max="10" width="5.00390625" style="0" customWidth="1"/>
    <col min="11" max="11" width="5.875" style="0" customWidth="1"/>
    <col min="12" max="12" width="2.00390625" style="0" customWidth="1"/>
    <col min="13" max="14" width="4.00390625" style="0" customWidth="1"/>
    <col min="15" max="15" width="6.375" style="0" customWidth="1"/>
    <col min="16" max="16" width="2.00390625" style="0" customWidth="1"/>
    <col min="17" max="19" width="4.00390625" style="0" customWidth="1"/>
    <col min="20" max="20" width="2.00390625" style="0" customWidth="1"/>
    <col min="21" max="23" width="4.00390625" style="0" customWidth="1"/>
    <col min="24" max="24" width="2.00390625" style="0" customWidth="1"/>
    <col min="25" max="26" width="4.00390625" style="0" customWidth="1"/>
    <col min="27" max="27" width="4.625" style="0" customWidth="1"/>
    <col min="28" max="28" width="2.00390625" style="0" customWidth="1"/>
    <col min="29" max="30" width="4.00390625" style="0" customWidth="1"/>
    <col min="31" max="31" width="5.625" style="0" customWidth="1"/>
    <col min="32" max="32" width="2.00390625" style="0" customWidth="1"/>
    <col min="33" max="34" width="4.00390625" style="0" customWidth="1"/>
    <col min="35" max="35" width="5.625" style="0" customWidth="1"/>
    <col min="36" max="36" width="2.00390625" style="0" customWidth="1"/>
    <col min="37" max="38" width="3.00390625" style="0" customWidth="1"/>
    <col min="39" max="39" width="4.625" style="0" customWidth="1"/>
    <col min="40" max="40" width="2.00390625" style="0" customWidth="1"/>
    <col min="41" max="42" width="3.00390625" style="0" customWidth="1"/>
    <col min="43" max="43" width="4.625" style="0" customWidth="1"/>
    <col min="44" max="44" width="2.00390625" style="0" customWidth="1"/>
    <col min="45" max="45" width="4.00390625" style="0" customWidth="1"/>
    <col min="46" max="46" width="5.00390625" style="0" customWidth="1"/>
    <col min="47" max="47" width="4.00390625" style="0" customWidth="1"/>
  </cols>
  <sheetData>
    <row r="1" spans="1:48" ht="12.7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 t="s">
        <v>338</v>
      </c>
      <c r="N1" s="61" t="s">
        <v>117</v>
      </c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</row>
    <row r="2" spans="1:48" ht="12.75">
      <c r="A2" s="61">
        <f>VLOOKUP(A5,A8:A21,1)</f>
        <v>0</v>
      </c>
      <c r="B2" s="61">
        <f>VLOOKUP(A2,A8:B21,2)</f>
        <v>0</v>
      </c>
      <c r="C2" s="61"/>
      <c r="D2" s="61"/>
      <c r="E2" s="61">
        <f>VLOOKUP(E5,E8:E28,1)</f>
        <v>69</v>
      </c>
      <c r="F2" s="61">
        <f>VLOOKUP(E2,E8:F28,2)</f>
        <v>10</v>
      </c>
      <c r="G2" s="61"/>
      <c r="H2" s="61"/>
      <c r="I2" s="61">
        <f>VLOOKUP(I5,I8:I28,1)</f>
        <v>0</v>
      </c>
      <c r="J2" s="61">
        <f>VLOOKUP(I2,I8:J28,2)</f>
        <v>0</v>
      </c>
      <c r="K2" s="61"/>
      <c r="L2" s="61"/>
      <c r="M2" s="61">
        <f>VLOOKUP(M5,M8:M21,1)</f>
        <v>48</v>
      </c>
      <c r="N2" s="61">
        <f>VLOOKUP(M2,M8:N21,2)</f>
        <v>40</v>
      </c>
      <c r="O2" s="61" t="s">
        <v>338</v>
      </c>
      <c r="P2" s="61"/>
      <c r="Q2" s="61">
        <f>VLOOKUP(Q5,Q8:Q21,1)</f>
        <v>23</v>
      </c>
      <c r="R2" s="61">
        <f>VLOOKUP(Q2,Q8:R21,2)</f>
        <v>20</v>
      </c>
      <c r="S2" s="61"/>
      <c r="T2" s="61"/>
      <c r="U2" s="61">
        <f>VLOOKUP(U5,U8:U20,1)</f>
        <v>12</v>
      </c>
      <c r="V2" s="61">
        <f>VLOOKUP(U2,U8:V20,2)</f>
        <v>10</v>
      </c>
      <c r="W2" s="61"/>
      <c r="X2" s="61"/>
      <c r="Y2" s="61">
        <f>VLOOKUP(Y5,Y8:Y20,1)</f>
        <v>25</v>
      </c>
      <c r="Z2" s="61">
        <f>VLOOKUP(Y2,Y8:Z20,2)</f>
        <v>20</v>
      </c>
      <c r="AA2" s="61"/>
      <c r="AB2" s="61"/>
      <c r="AC2" s="61">
        <f>VLOOKUP(AC5,AC8:AC23,1)</f>
        <v>216</v>
      </c>
      <c r="AD2" s="61">
        <f>VLOOKUP(AC2,AC8:AD23,2)</f>
        <v>110</v>
      </c>
      <c r="AE2" s="61"/>
      <c r="AF2" s="61"/>
      <c r="AG2" s="61">
        <f>VLOOKUP(AG5,AG8:AG23,1)</f>
        <v>22</v>
      </c>
      <c r="AH2" s="61">
        <f>VLOOKUP(AG2,AG8:AH23,2)</f>
        <v>20</v>
      </c>
      <c r="AI2" s="61"/>
      <c r="AJ2" s="61"/>
      <c r="AK2" s="61">
        <f>VLOOKUP(AK5,AK8:AK19,1)</f>
        <v>0</v>
      </c>
      <c r="AL2" s="61">
        <f>VLOOKUP(AK2,AK8:AL19,2)</f>
        <v>2</v>
      </c>
      <c r="AM2" s="61"/>
      <c r="AN2" s="61"/>
      <c r="AO2" s="61">
        <f>VLOOKUP(AO5,AO8:AO19,1)</f>
        <v>27</v>
      </c>
      <c r="AP2" s="61">
        <f>VLOOKUP(AO2,AO8:AP19,2)</f>
        <v>20</v>
      </c>
      <c r="AQ2" s="61"/>
      <c r="AR2" s="61"/>
      <c r="AS2" s="61">
        <f>VLOOKUP(AS5,AS8:AS35,1)</f>
        <v>64</v>
      </c>
      <c r="AT2" s="61">
        <f>VLOOKUP(AS2,AS8:AT35,2)</f>
        <v>2</v>
      </c>
      <c r="AU2" s="61"/>
      <c r="AV2" s="61"/>
    </row>
    <row r="3" spans="1:48" ht="12.75">
      <c r="A3" s="61"/>
      <c r="B3" s="61">
        <f>IF(A5&gt;592,B2+2,B2+10)</f>
        <v>10</v>
      </c>
      <c r="C3" s="61">
        <f>VLOOKUP(B3,B8:C21,2)</f>
        <v>141</v>
      </c>
      <c r="D3" s="61"/>
      <c r="E3" s="61"/>
      <c r="F3" s="61">
        <f>IF(E5&lt;2,F2+11,IF(E5&gt;344,F2+1.7,F2+2))</f>
        <v>12</v>
      </c>
      <c r="G3" s="61">
        <f>VLOOKUP(F3,F8:G28,2)</f>
        <v>78</v>
      </c>
      <c r="H3" s="61"/>
      <c r="I3" s="61"/>
      <c r="J3" s="61">
        <f>IF(I5&lt;2,J2+11,IF(I5&gt;357,J2+0.7,J2+2))</f>
        <v>2</v>
      </c>
      <c r="K3" s="61">
        <f>VLOOKUP(J3,J8:K48,2)</f>
        <v>0</v>
      </c>
      <c r="L3" s="61"/>
      <c r="M3" s="61"/>
      <c r="N3" s="61">
        <f>IF(M5&gt;333,N2+7,N2+10)</f>
        <v>50</v>
      </c>
      <c r="O3" s="61">
        <f>VLOOKUP(N3,N8:O21,2)</f>
        <v>59</v>
      </c>
      <c r="P3" s="61"/>
      <c r="Q3" s="61"/>
      <c r="R3" s="61">
        <f>IF(Q5&gt;333,R2+7,R2+10)</f>
        <v>30</v>
      </c>
      <c r="S3" s="61">
        <f>VLOOKUP(R3,R8:S21,2)</f>
        <v>35</v>
      </c>
      <c r="T3" s="61"/>
      <c r="U3" s="61"/>
      <c r="V3" s="61">
        <f>IF(U5&gt;320,V2+8,V2+10)</f>
        <v>20</v>
      </c>
      <c r="W3" s="61">
        <f>VLOOKUP(V3,V8:W20,2)</f>
        <v>25</v>
      </c>
      <c r="X3" s="61"/>
      <c r="Y3" s="61"/>
      <c r="Z3" s="61">
        <f>IF(Y5&gt;320,Z2+8,Z2+10)</f>
        <v>30</v>
      </c>
      <c r="AA3" s="61">
        <f>VLOOKUP(Z3,Z8:AA20,2)</f>
        <v>38</v>
      </c>
      <c r="AB3" s="61"/>
      <c r="AC3" s="61"/>
      <c r="AD3" s="61">
        <f>IF(AC5&gt;360,AD2+1,AD2+10)</f>
        <v>120</v>
      </c>
      <c r="AE3" s="61">
        <f>VLOOKUP(AD3,AD8:AF23,2)</f>
        <v>259</v>
      </c>
      <c r="AF3" s="61"/>
      <c r="AG3" s="61"/>
      <c r="AH3" s="61">
        <f>IF(AG5&gt;360,AH2+1,AH2+10)</f>
        <v>30</v>
      </c>
      <c r="AI3" s="61">
        <f>VLOOKUP(AH3,AH8:AJ23,2)</f>
        <v>33</v>
      </c>
      <c r="AJ3" s="61"/>
      <c r="AK3" s="61"/>
      <c r="AL3" s="61">
        <f>IF(AK5&lt;10,AL2+10,AL2+5)</f>
        <v>12</v>
      </c>
      <c r="AM3" s="61">
        <f>VLOOKUP(AL3,AL8:AN19,2)</f>
        <v>12</v>
      </c>
      <c r="AN3" s="61"/>
      <c r="AO3" s="61"/>
      <c r="AP3" s="61">
        <f>IF(AO5&lt;10,AP2+10,AP2+5)</f>
        <v>25</v>
      </c>
      <c r="AQ3" s="61">
        <f>VLOOKUP(AP3,AP8:AR19,2)</f>
        <v>34</v>
      </c>
      <c r="AR3" s="61"/>
      <c r="AS3" s="61"/>
      <c r="AT3" s="61">
        <f>IF(AS5&gt;309,AT2+0.4,AT2+0.5)</f>
        <v>2.5</v>
      </c>
      <c r="AU3" s="61">
        <f>VLOOKUP(AT3,AT8:AV35,2)</f>
        <v>81</v>
      </c>
      <c r="AV3" s="61"/>
    </row>
    <row r="4" spans="1:48" ht="12.7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 t="s">
        <v>117</v>
      </c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</row>
    <row r="5" spans="1:48" ht="12.75">
      <c r="A5" s="61">
        <f>Балласт!D4</f>
        <v>7</v>
      </c>
      <c r="B5" s="75" t="s">
        <v>339</v>
      </c>
      <c r="C5" s="76">
        <f>IF(A5&gt;=A18,B18,B2+(A5-A2)*(B3-B2)/(C3-A2))</f>
        <v>0.49645390070921985</v>
      </c>
      <c r="D5" s="61"/>
      <c r="E5" s="61">
        <f>Балласт!D6</f>
        <v>70</v>
      </c>
      <c r="F5" s="75" t="s">
        <v>339</v>
      </c>
      <c r="G5" s="76">
        <f>IF(E5=369,F9,F2+(E5-E2)*(F9-F2)/(E9-E2))</f>
        <v>10.092333333333332</v>
      </c>
      <c r="H5" s="61"/>
      <c r="I5" s="61">
        <f>Балласт!K6</f>
        <v>7</v>
      </c>
      <c r="J5" s="75" t="s">
        <v>339</v>
      </c>
      <c r="K5" s="76">
        <f>IF(I5=357,J9,J2+(I5-I2)*(J9-J2)/(I9-I2))</f>
        <v>0.6962059620596207</v>
      </c>
      <c r="L5" s="61"/>
      <c r="M5" s="61">
        <f>Балласт!D8</f>
        <v>52</v>
      </c>
      <c r="N5" s="75" t="s">
        <v>339</v>
      </c>
      <c r="O5" s="76">
        <f>IF(M5&gt;=M21,N21,N2+(M5-M2)*(N3-N2)/(O3-M2))</f>
        <v>43.63636363636363</v>
      </c>
      <c r="P5" s="61"/>
      <c r="Q5" s="61">
        <f>Балласт!K8</f>
        <v>23</v>
      </c>
      <c r="R5" s="75" t="s">
        <v>339</v>
      </c>
      <c r="S5" s="76">
        <f>IF(Q5&gt;=Q21,R21,R2+(Q5-Q2)*(R3-R2)/(S3-Q2))</f>
        <v>20</v>
      </c>
      <c r="T5" s="61"/>
      <c r="U5" s="61">
        <f>Балласт!D10</f>
        <v>19</v>
      </c>
      <c r="V5" s="75" t="s">
        <v>339</v>
      </c>
      <c r="W5" s="76">
        <f>IF(U5&gt;=U20,V20,V2+(U5-U2)*(V3-V2)/(W3-U2))</f>
        <v>15.384615384615385</v>
      </c>
      <c r="X5" s="61"/>
      <c r="Y5" s="61">
        <f>Балласт!K10</f>
        <v>25</v>
      </c>
      <c r="Z5" s="75" t="s">
        <v>339</v>
      </c>
      <c r="AA5" s="76">
        <f>IF(Y5&gt;=Y20,Z20,Z2+(Y5-Y2)*(Z3-Z2)/(AA3-Y2))</f>
        <v>20</v>
      </c>
      <c r="AB5" s="61"/>
      <c r="AC5" s="61">
        <f>Балласт!D12</f>
        <v>258</v>
      </c>
      <c r="AD5" s="75" t="s">
        <v>339</v>
      </c>
      <c r="AE5" s="76">
        <f>IF(AC5&gt;=AC23,AD23,AD2+(AC5-AC2)*(AD3-AD2)/(AE3-AC2))</f>
        <v>119.76744186046511</v>
      </c>
      <c r="AF5" s="61"/>
      <c r="AG5" s="61">
        <f>Балласт!K12</f>
        <v>30</v>
      </c>
      <c r="AH5" s="75" t="s">
        <v>339</v>
      </c>
      <c r="AI5" s="76">
        <f>IF(AG5&gt;=AG23,AH23,AH2+(AG5-AG2)*(AH3-AH2)/(AI3-AG2))</f>
        <v>27.272727272727273</v>
      </c>
      <c r="AJ5" s="61"/>
      <c r="AK5" s="61">
        <f>Балласт!D14</f>
        <v>3</v>
      </c>
      <c r="AL5" s="75" t="s">
        <v>339</v>
      </c>
      <c r="AM5" s="76">
        <f>IF(AK5&gt;=AK19,AL19,AL2+(AK5-AK2)*(AL3-AL2)/(AM3-AK2))</f>
        <v>4.5</v>
      </c>
      <c r="AN5" s="61"/>
      <c r="AO5" s="61">
        <f>Балласт!K14</f>
        <v>30</v>
      </c>
      <c r="AP5" s="75" t="s">
        <v>339</v>
      </c>
      <c r="AQ5" s="76">
        <f>IF(AO5&gt;=AO19,AP19,AP2+(AO5-AO2)*(AP3-AP2)/(AQ3-AO2))</f>
        <v>22.142857142857142</v>
      </c>
      <c r="AR5" s="61"/>
      <c r="AS5" s="61">
        <f>Балласт!K16</f>
        <v>80</v>
      </c>
      <c r="AT5" s="75" t="s">
        <v>339</v>
      </c>
      <c r="AU5" s="76">
        <f>IF(AS5&gt;=AS35,AT35,AT2+(AS5-AS2)*(AT3-AT2)/(AU3-AS2))</f>
        <v>2.4705882352941178</v>
      </c>
      <c r="AV5" s="61"/>
    </row>
    <row r="6" spans="1:48" ht="12.75">
      <c r="A6" s="61"/>
      <c r="B6" s="75"/>
      <c r="C6" s="76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</row>
    <row r="7" spans="1:48" ht="12.75">
      <c r="A7" s="77" t="s">
        <v>340</v>
      </c>
      <c r="B7" s="77"/>
      <c r="C7" s="77"/>
      <c r="D7" s="61"/>
      <c r="E7" s="77" t="s">
        <v>341</v>
      </c>
      <c r="F7" s="77"/>
      <c r="G7" s="77"/>
      <c r="H7" s="61"/>
      <c r="I7" s="77" t="s">
        <v>342</v>
      </c>
      <c r="J7" s="77"/>
      <c r="K7" s="77"/>
      <c r="L7" s="61"/>
      <c r="M7" s="77" t="s">
        <v>343</v>
      </c>
      <c r="N7" s="77"/>
      <c r="O7" s="77"/>
      <c r="P7" s="61"/>
      <c r="Q7" s="77" t="s">
        <v>344</v>
      </c>
      <c r="R7" s="77"/>
      <c r="S7" s="77"/>
      <c r="T7" s="61"/>
      <c r="U7" s="77" t="s">
        <v>345</v>
      </c>
      <c r="V7" s="77"/>
      <c r="W7" s="77"/>
      <c r="X7" s="61"/>
      <c r="Y7" s="77" t="s">
        <v>346</v>
      </c>
      <c r="Z7" s="77"/>
      <c r="AA7" s="77"/>
      <c r="AB7" s="61"/>
      <c r="AC7" s="77" t="s">
        <v>347</v>
      </c>
      <c r="AD7" s="77"/>
      <c r="AE7" s="77"/>
      <c r="AF7" s="61"/>
      <c r="AG7" s="77" t="s">
        <v>348</v>
      </c>
      <c r="AH7" s="77"/>
      <c r="AI7" s="77"/>
      <c r="AJ7" s="61"/>
      <c r="AK7" s="77" t="s">
        <v>349</v>
      </c>
      <c r="AL7" s="77"/>
      <c r="AM7" s="77"/>
      <c r="AN7" s="61"/>
      <c r="AO7" s="77" t="s">
        <v>350</v>
      </c>
      <c r="AP7" s="77"/>
      <c r="AQ7" s="77"/>
      <c r="AR7" s="61"/>
      <c r="AS7" s="77" t="s">
        <v>351</v>
      </c>
      <c r="AT7" s="77"/>
      <c r="AU7" s="61"/>
      <c r="AV7" s="61"/>
    </row>
    <row r="8" spans="1:48" ht="12.75">
      <c r="A8" s="61">
        <v>0</v>
      </c>
      <c r="B8" s="61">
        <v>0</v>
      </c>
      <c r="C8" s="61">
        <v>0</v>
      </c>
      <c r="D8" s="61"/>
      <c r="E8" s="61">
        <v>0</v>
      </c>
      <c r="F8" s="61">
        <v>0</v>
      </c>
      <c r="G8" s="61">
        <v>0</v>
      </c>
      <c r="H8" s="61"/>
      <c r="I8" s="61">
        <v>0</v>
      </c>
      <c r="J8" s="61">
        <v>0</v>
      </c>
      <c r="K8" s="61">
        <v>0</v>
      </c>
      <c r="L8" s="61"/>
      <c r="M8" s="61">
        <v>0</v>
      </c>
      <c r="N8" s="61">
        <v>0</v>
      </c>
      <c r="O8" s="61">
        <v>0</v>
      </c>
      <c r="P8" s="61"/>
      <c r="Q8" s="61">
        <v>0</v>
      </c>
      <c r="R8" s="61">
        <v>0</v>
      </c>
      <c r="S8" s="61">
        <v>0</v>
      </c>
      <c r="T8" s="61"/>
      <c r="U8" s="61">
        <v>0</v>
      </c>
      <c r="V8" s="61">
        <v>0</v>
      </c>
      <c r="W8" s="61">
        <v>0</v>
      </c>
      <c r="X8" s="61"/>
      <c r="Y8" s="61">
        <v>0</v>
      </c>
      <c r="Z8" s="61">
        <v>0</v>
      </c>
      <c r="AA8" s="61">
        <v>0</v>
      </c>
      <c r="AB8" s="61"/>
      <c r="AC8" s="61">
        <v>0</v>
      </c>
      <c r="AD8" s="61">
        <v>0</v>
      </c>
      <c r="AE8" s="61">
        <v>0</v>
      </c>
      <c r="AF8" s="61"/>
      <c r="AG8" s="61">
        <v>0</v>
      </c>
      <c r="AH8" s="61">
        <v>0</v>
      </c>
      <c r="AI8" s="61">
        <v>0</v>
      </c>
      <c r="AJ8" s="61"/>
      <c r="AK8" s="61">
        <v>0</v>
      </c>
      <c r="AL8" s="61">
        <v>2</v>
      </c>
      <c r="AM8" s="61">
        <v>0</v>
      </c>
      <c r="AN8" s="61"/>
      <c r="AO8" s="61">
        <v>0</v>
      </c>
      <c r="AP8" s="61">
        <v>2</v>
      </c>
      <c r="AQ8" s="61">
        <v>0</v>
      </c>
      <c r="AR8" s="61"/>
      <c r="AS8" s="61">
        <v>0</v>
      </c>
      <c r="AT8" s="61">
        <v>0</v>
      </c>
      <c r="AU8" s="61">
        <v>0</v>
      </c>
      <c r="AV8" s="61"/>
    </row>
    <row r="9" spans="1:48" ht="12.75">
      <c r="A9" s="61">
        <v>141</v>
      </c>
      <c r="B9" s="61">
        <v>10</v>
      </c>
      <c r="C9" s="61">
        <v>141</v>
      </c>
      <c r="D9" s="61"/>
      <c r="E9" s="61">
        <v>369</v>
      </c>
      <c r="F9" s="61">
        <v>37.7</v>
      </c>
      <c r="G9" s="61">
        <v>369</v>
      </c>
      <c r="H9" s="61"/>
      <c r="I9" s="61">
        <v>369</v>
      </c>
      <c r="J9" s="61">
        <v>36.7</v>
      </c>
      <c r="K9" s="61">
        <v>369</v>
      </c>
      <c r="L9" s="61"/>
      <c r="M9" s="61">
        <v>11</v>
      </c>
      <c r="N9" s="61">
        <v>10</v>
      </c>
      <c r="O9" s="61">
        <v>11</v>
      </c>
      <c r="P9" s="61"/>
      <c r="Q9" s="61">
        <v>11</v>
      </c>
      <c r="R9" s="61">
        <v>10</v>
      </c>
      <c r="S9" s="61">
        <v>11</v>
      </c>
      <c r="T9" s="61"/>
      <c r="U9" s="61">
        <v>12</v>
      </c>
      <c r="V9" s="61">
        <v>10</v>
      </c>
      <c r="W9" s="61">
        <v>12</v>
      </c>
      <c r="X9" s="61"/>
      <c r="Y9" s="61">
        <v>12</v>
      </c>
      <c r="Z9" s="61">
        <v>10</v>
      </c>
      <c r="AA9" s="61">
        <v>12</v>
      </c>
      <c r="AB9" s="61"/>
      <c r="AC9" s="61">
        <v>10</v>
      </c>
      <c r="AD9" s="61">
        <v>10</v>
      </c>
      <c r="AE9" s="61">
        <v>10</v>
      </c>
      <c r="AF9" s="61"/>
      <c r="AG9" s="61">
        <v>10</v>
      </c>
      <c r="AH9" s="61">
        <v>10</v>
      </c>
      <c r="AI9" s="61">
        <v>10</v>
      </c>
      <c r="AJ9" s="61"/>
      <c r="AK9" s="61">
        <v>12</v>
      </c>
      <c r="AL9" s="61">
        <v>10</v>
      </c>
      <c r="AM9" s="61">
        <v>12</v>
      </c>
      <c r="AN9" s="61"/>
      <c r="AO9" s="61">
        <v>12</v>
      </c>
      <c r="AP9" s="61">
        <v>10</v>
      </c>
      <c r="AQ9" s="61">
        <v>12</v>
      </c>
      <c r="AR9" s="61"/>
      <c r="AS9" s="61">
        <v>15</v>
      </c>
      <c r="AT9" s="61">
        <v>0.5</v>
      </c>
      <c r="AU9" s="61">
        <v>15</v>
      </c>
      <c r="AV9" s="61"/>
    </row>
    <row r="10" spans="1:48" ht="12.75">
      <c r="A10" s="61">
        <v>201</v>
      </c>
      <c r="B10" s="61">
        <v>20</v>
      </c>
      <c r="C10" s="61">
        <v>201</v>
      </c>
      <c r="D10" s="61"/>
      <c r="E10" s="78">
        <v>18</v>
      </c>
      <c r="F10" s="78">
        <v>2</v>
      </c>
      <c r="G10" s="78">
        <v>18</v>
      </c>
      <c r="H10" s="78"/>
      <c r="I10" s="78">
        <v>21</v>
      </c>
      <c r="J10" s="78">
        <v>2</v>
      </c>
      <c r="K10" s="78">
        <v>21</v>
      </c>
      <c r="L10" s="61"/>
      <c r="M10" s="61">
        <v>23</v>
      </c>
      <c r="N10" s="61">
        <v>20</v>
      </c>
      <c r="O10" s="61">
        <v>23</v>
      </c>
      <c r="P10" s="61"/>
      <c r="Q10" s="61">
        <v>23</v>
      </c>
      <c r="R10" s="61">
        <v>20</v>
      </c>
      <c r="S10" s="61">
        <v>23</v>
      </c>
      <c r="T10" s="61"/>
      <c r="U10" s="61">
        <v>25</v>
      </c>
      <c r="V10" s="61">
        <v>20</v>
      </c>
      <c r="W10" s="61">
        <v>25</v>
      </c>
      <c r="X10" s="61"/>
      <c r="Y10" s="61">
        <v>25</v>
      </c>
      <c r="Z10" s="61">
        <v>20</v>
      </c>
      <c r="AA10" s="61">
        <v>25</v>
      </c>
      <c r="AB10" s="61"/>
      <c r="AC10" s="61">
        <v>22</v>
      </c>
      <c r="AD10" s="61">
        <v>20</v>
      </c>
      <c r="AE10" s="61">
        <v>22</v>
      </c>
      <c r="AF10" s="61"/>
      <c r="AG10" s="61">
        <v>22</v>
      </c>
      <c r="AH10" s="61">
        <v>20</v>
      </c>
      <c r="AI10" s="61">
        <v>22</v>
      </c>
      <c r="AJ10" s="61"/>
      <c r="AK10" s="61">
        <v>20</v>
      </c>
      <c r="AL10" s="61">
        <v>15</v>
      </c>
      <c r="AM10" s="61">
        <v>20</v>
      </c>
      <c r="AN10" s="61"/>
      <c r="AO10" s="61">
        <v>20</v>
      </c>
      <c r="AP10" s="61">
        <v>15</v>
      </c>
      <c r="AQ10" s="61">
        <v>20</v>
      </c>
      <c r="AR10" s="61"/>
      <c r="AS10" s="61">
        <v>31</v>
      </c>
      <c r="AT10" s="61">
        <v>1</v>
      </c>
      <c r="AU10" s="61">
        <v>31</v>
      </c>
      <c r="AV10" s="61"/>
    </row>
    <row r="11" spans="1:48" ht="12.75">
      <c r="A11" s="61">
        <v>251</v>
      </c>
      <c r="B11" s="61">
        <v>30</v>
      </c>
      <c r="C11" s="61">
        <v>251</v>
      </c>
      <c r="D11" s="61"/>
      <c r="E11" s="78">
        <v>33</v>
      </c>
      <c r="F11" s="78">
        <v>4</v>
      </c>
      <c r="G11" s="78">
        <v>33</v>
      </c>
      <c r="H11" s="78"/>
      <c r="I11" s="78">
        <v>36</v>
      </c>
      <c r="J11" s="78">
        <v>4</v>
      </c>
      <c r="K11" s="78">
        <v>36</v>
      </c>
      <c r="L11" s="61"/>
      <c r="M11" s="61">
        <v>35</v>
      </c>
      <c r="N11" s="61">
        <v>30</v>
      </c>
      <c r="O11" s="61">
        <v>35</v>
      </c>
      <c r="P11" s="61"/>
      <c r="Q11" s="61">
        <v>35</v>
      </c>
      <c r="R11" s="61">
        <v>30</v>
      </c>
      <c r="S11" s="61">
        <v>35</v>
      </c>
      <c r="T11" s="61"/>
      <c r="U11" s="61">
        <v>38</v>
      </c>
      <c r="V11" s="61">
        <v>30</v>
      </c>
      <c r="W11" s="61">
        <v>38</v>
      </c>
      <c r="X11" s="61"/>
      <c r="Y11" s="61">
        <v>38</v>
      </c>
      <c r="Z11" s="61">
        <v>30</v>
      </c>
      <c r="AA11" s="61">
        <v>38</v>
      </c>
      <c r="AB11" s="61"/>
      <c r="AC11" s="61">
        <v>33</v>
      </c>
      <c r="AD11" s="61">
        <v>30</v>
      </c>
      <c r="AE11" s="61">
        <v>33</v>
      </c>
      <c r="AF11" s="61"/>
      <c r="AG11" s="61">
        <v>33</v>
      </c>
      <c r="AH11" s="61">
        <v>30</v>
      </c>
      <c r="AI11" s="61">
        <v>33</v>
      </c>
      <c r="AJ11" s="61"/>
      <c r="AK11" s="61">
        <v>27</v>
      </c>
      <c r="AL11" s="61">
        <v>20</v>
      </c>
      <c r="AM11" s="61">
        <v>27</v>
      </c>
      <c r="AN11" s="61"/>
      <c r="AO11" s="61">
        <v>27</v>
      </c>
      <c r="AP11" s="61">
        <v>20</v>
      </c>
      <c r="AQ11" s="61">
        <v>27</v>
      </c>
      <c r="AR11" s="61"/>
      <c r="AS11" s="61">
        <v>48</v>
      </c>
      <c r="AT11" s="61">
        <v>1.5</v>
      </c>
      <c r="AU11" s="61">
        <v>48</v>
      </c>
      <c r="AV11" s="61"/>
    </row>
    <row r="12" spans="1:48" ht="12.75">
      <c r="A12" s="61">
        <v>295</v>
      </c>
      <c r="B12" s="61">
        <v>40</v>
      </c>
      <c r="C12" s="61">
        <v>295</v>
      </c>
      <c r="D12" s="61"/>
      <c r="E12" s="78">
        <v>46</v>
      </c>
      <c r="F12" s="78">
        <v>6</v>
      </c>
      <c r="G12" s="78">
        <v>46</v>
      </c>
      <c r="H12" s="78"/>
      <c r="I12" s="78">
        <v>50</v>
      </c>
      <c r="J12" s="78">
        <v>6</v>
      </c>
      <c r="K12" s="78">
        <v>50</v>
      </c>
      <c r="L12" s="61"/>
      <c r="M12" s="61">
        <v>48</v>
      </c>
      <c r="N12" s="61">
        <v>40</v>
      </c>
      <c r="O12" s="61">
        <v>48</v>
      </c>
      <c r="P12" s="61"/>
      <c r="Q12" s="61">
        <v>48</v>
      </c>
      <c r="R12" s="61">
        <v>40</v>
      </c>
      <c r="S12" s="61">
        <v>48</v>
      </c>
      <c r="T12" s="61"/>
      <c r="U12" s="61">
        <v>51</v>
      </c>
      <c r="V12" s="61">
        <v>40</v>
      </c>
      <c r="W12" s="61">
        <v>51</v>
      </c>
      <c r="X12" s="61"/>
      <c r="Y12" s="61">
        <v>51</v>
      </c>
      <c r="Z12" s="61">
        <v>40</v>
      </c>
      <c r="AA12" s="61">
        <v>51</v>
      </c>
      <c r="AB12" s="61"/>
      <c r="AC12" s="61">
        <v>44</v>
      </c>
      <c r="AD12" s="61">
        <v>40</v>
      </c>
      <c r="AE12" s="61">
        <v>44</v>
      </c>
      <c r="AF12" s="61"/>
      <c r="AG12" s="61">
        <v>44</v>
      </c>
      <c r="AH12" s="61">
        <v>40</v>
      </c>
      <c r="AI12" s="61">
        <v>44</v>
      </c>
      <c r="AJ12" s="61"/>
      <c r="AK12" s="61">
        <v>34</v>
      </c>
      <c r="AL12" s="61">
        <v>25</v>
      </c>
      <c r="AM12" s="61">
        <v>34</v>
      </c>
      <c r="AN12" s="61"/>
      <c r="AO12" s="61">
        <v>34</v>
      </c>
      <c r="AP12" s="61">
        <v>25</v>
      </c>
      <c r="AQ12" s="61">
        <v>34</v>
      </c>
      <c r="AR12" s="61"/>
      <c r="AS12" s="61">
        <v>64</v>
      </c>
      <c r="AT12" s="61">
        <v>2</v>
      </c>
      <c r="AU12" s="61">
        <v>64</v>
      </c>
      <c r="AV12" s="61"/>
    </row>
    <row r="13" spans="1:48" ht="12.75">
      <c r="A13" s="61">
        <v>334</v>
      </c>
      <c r="B13" s="61">
        <v>50</v>
      </c>
      <c r="C13" s="61">
        <v>334</v>
      </c>
      <c r="D13" s="61"/>
      <c r="E13" s="78">
        <v>58</v>
      </c>
      <c r="F13" s="78">
        <v>8</v>
      </c>
      <c r="G13" s="78">
        <v>58</v>
      </c>
      <c r="H13" s="78"/>
      <c r="I13" s="78">
        <v>62</v>
      </c>
      <c r="J13" s="78">
        <v>8</v>
      </c>
      <c r="K13" s="78">
        <v>62</v>
      </c>
      <c r="L13" s="61"/>
      <c r="M13" s="61">
        <v>59</v>
      </c>
      <c r="N13" s="61">
        <v>50</v>
      </c>
      <c r="O13" s="61">
        <v>59</v>
      </c>
      <c r="P13" s="61"/>
      <c r="Q13" s="61">
        <v>59</v>
      </c>
      <c r="R13" s="61">
        <v>50</v>
      </c>
      <c r="S13" s="61">
        <v>59</v>
      </c>
      <c r="T13" s="61"/>
      <c r="U13" s="61">
        <v>62</v>
      </c>
      <c r="V13" s="61">
        <v>50</v>
      </c>
      <c r="W13" s="61">
        <v>62</v>
      </c>
      <c r="X13" s="61"/>
      <c r="Y13" s="61">
        <v>62</v>
      </c>
      <c r="Z13" s="61">
        <v>50</v>
      </c>
      <c r="AA13" s="61">
        <v>62</v>
      </c>
      <c r="AB13" s="61"/>
      <c r="AC13" s="61">
        <v>56</v>
      </c>
      <c r="AD13" s="61">
        <v>50</v>
      </c>
      <c r="AE13" s="61">
        <v>56</v>
      </c>
      <c r="AF13" s="61"/>
      <c r="AG13" s="61">
        <v>56</v>
      </c>
      <c r="AH13" s="61">
        <v>50</v>
      </c>
      <c r="AI13" s="61">
        <v>56</v>
      </c>
      <c r="AJ13" s="61"/>
      <c r="AK13" s="61">
        <v>42</v>
      </c>
      <c r="AL13" s="61">
        <v>30</v>
      </c>
      <c r="AM13" s="61">
        <v>42</v>
      </c>
      <c r="AN13" s="61"/>
      <c r="AO13" s="61">
        <v>42</v>
      </c>
      <c r="AP13" s="61">
        <v>30</v>
      </c>
      <c r="AQ13" s="61">
        <v>42</v>
      </c>
      <c r="AR13" s="61"/>
      <c r="AS13" s="61">
        <v>81</v>
      </c>
      <c r="AT13" s="61">
        <v>2.5</v>
      </c>
      <c r="AU13" s="61">
        <v>81</v>
      </c>
      <c r="AV13" s="61"/>
    </row>
    <row r="14" spans="1:48" ht="12.75">
      <c r="A14" s="61">
        <v>373</v>
      </c>
      <c r="B14" s="61">
        <v>60</v>
      </c>
      <c r="C14" s="61">
        <v>373</v>
      </c>
      <c r="D14" s="61"/>
      <c r="E14" s="78">
        <v>69</v>
      </c>
      <c r="F14" s="78">
        <v>10</v>
      </c>
      <c r="G14" s="78">
        <v>69</v>
      </c>
      <c r="H14" s="78"/>
      <c r="I14" s="78">
        <v>72</v>
      </c>
      <c r="J14" s="78">
        <v>10</v>
      </c>
      <c r="K14" s="78">
        <v>72</v>
      </c>
      <c r="L14" s="61"/>
      <c r="M14" s="61">
        <v>70</v>
      </c>
      <c r="N14" s="61">
        <v>60</v>
      </c>
      <c r="O14" s="61">
        <v>70</v>
      </c>
      <c r="P14" s="61"/>
      <c r="Q14" s="61">
        <v>70</v>
      </c>
      <c r="R14" s="61">
        <v>60</v>
      </c>
      <c r="S14" s="61">
        <v>70</v>
      </c>
      <c r="T14" s="61"/>
      <c r="U14" s="61">
        <v>73</v>
      </c>
      <c r="V14" s="61">
        <v>60</v>
      </c>
      <c r="W14" s="61">
        <v>73</v>
      </c>
      <c r="X14" s="61"/>
      <c r="Y14" s="61">
        <v>73</v>
      </c>
      <c r="Z14" s="61">
        <v>60</v>
      </c>
      <c r="AA14" s="61">
        <v>73</v>
      </c>
      <c r="AB14" s="61"/>
      <c r="AC14" s="61">
        <v>67</v>
      </c>
      <c r="AD14" s="61">
        <v>60</v>
      </c>
      <c r="AE14" s="61">
        <v>67</v>
      </c>
      <c r="AF14" s="61"/>
      <c r="AG14" s="61">
        <v>67</v>
      </c>
      <c r="AH14" s="61">
        <v>60</v>
      </c>
      <c r="AI14" s="61">
        <v>67</v>
      </c>
      <c r="AJ14" s="61"/>
      <c r="AK14" s="61">
        <v>50</v>
      </c>
      <c r="AL14" s="61">
        <v>35</v>
      </c>
      <c r="AM14" s="61">
        <v>50</v>
      </c>
      <c r="AN14" s="61"/>
      <c r="AO14" s="61">
        <v>50</v>
      </c>
      <c r="AP14" s="61">
        <v>35</v>
      </c>
      <c r="AQ14" s="61">
        <v>50</v>
      </c>
      <c r="AR14" s="61"/>
      <c r="AS14" s="61">
        <v>97</v>
      </c>
      <c r="AT14" s="61">
        <v>3</v>
      </c>
      <c r="AU14" s="61">
        <v>97</v>
      </c>
      <c r="AV14" s="61"/>
    </row>
    <row r="15" spans="1:48" ht="12.75">
      <c r="A15" s="61">
        <v>410</v>
      </c>
      <c r="B15" s="61">
        <v>70</v>
      </c>
      <c r="C15" s="61">
        <v>410</v>
      </c>
      <c r="D15" s="61"/>
      <c r="E15" s="78">
        <v>78</v>
      </c>
      <c r="F15" s="78">
        <v>12</v>
      </c>
      <c r="G15" s="78">
        <v>78</v>
      </c>
      <c r="H15" s="78"/>
      <c r="I15" s="78">
        <v>82</v>
      </c>
      <c r="J15" s="78">
        <v>12</v>
      </c>
      <c r="K15" s="78">
        <v>82</v>
      </c>
      <c r="L15" s="61"/>
      <c r="M15" s="61">
        <v>80</v>
      </c>
      <c r="N15" s="61">
        <v>70</v>
      </c>
      <c r="O15" s="61">
        <v>80</v>
      </c>
      <c r="P15" s="61"/>
      <c r="Q15" s="61">
        <v>80</v>
      </c>
      <c r="R15" s="61">
        <v>70</v>
      </c>
      <c r="S15" s="61">
        <v>80</v>
      </c>
      <c r="T15" s="61"/>
      <c r="U15" s="61">
        <v>85</v>
      </c>
      <c r="V15" s="61">
        <v>70</v>
      </c>
      <c r="W15" s="61">
        <v>85</v>
      </c>
      <c r="X15" s="61"/>
      <c r="Y15" s="61">
        <v>85</v>
      </c>
      <c r="Z15" s="61">
        <v>70</v>
      </c>
      <c r="AA15" s="61">
        <v>85</v>
      </c>
      <c r="AB15" s="61"/>
      <c r="AC15" s="61">
        <v>78</v>
      </c>
      <c r="AD15" s="61">
        <v>70</v>
      </c>
      <c r="AE15" s="61">
        <v>78</v>
      </c>
      <c r="AF15" s="61"/>
      <c r="AG15" s="61">
        <v>78</v>
      </c>
      <c r="AH15" s="61">
        <v>70</v>
      </c>
      <c r="AI15" s="61">
        <v>78</v>
      </c>
      <c r="AJ15" s="61"/>
      <c r="AK15" s="61">
        <v>57</v>
      </c>
      <c r="AL15" s="61">
        <v>40</v>
      </c>
      <c r="AM15" s="61">
        <v>57</v>
      </c>
      <c r="AN15" s="61"/>
      <c r="AO15" s="61">
        <v>57</v>
      </c>
      <c r="AP15" s="61">
        <v>40</v>
      </c>
      <c r="AQ15" s="61">
        <v>57</v>
      </c>
      <c r="AR15" s="61"/>
      <c r="AS15" s="61">
        <v>113</v>
      </c>
      <c r="AT15" s="61">
        <v>3.5</v>
      </c>
      <c r="AU15" s="61">
        <v>113</v>
      </c>
      <c r="AV15" s="61"/>
    </row>
    <row r="16" spans="1:48" ht="12.75">
      <c r="A16" s="61">
        <v>446</v>
      </c>
      <c r="B16" s="61">
        <v>80</v>
      </c>
      <c r="C16" s="61">
        <v>446</v>
      </c>
      <c r="D16" s="61"/>
      <c r="E16" s="78">
        <v>86</v>
      </c>
      <c r="F16" s="78">
        <v>14</v>
      </c>
      <c r="G16" s="78">
        <v>86</v>
      </c>
      <c r="H16" s="78"/>
      <c r="I16" s="78">
        <v>90</v>
      </c>
      <c r="J16" s="78">
        <v>14</v>
      </c>
      <c r="K16" s="78">
        <v>90</v>
      </c>
      <c r="L16" s="61"/>
      <c r="M16" s="61">
        <v>104</v>
      </c>
      <c r="N16" s="61">
        <v>80</v>
      </c>
      <c r="O16" s="61">
        <v>104</v>
      </c>
      <c r="P16" s="61"/>
      <c r="Q16" s="61">
        <v>104</v>
      </c>
      <c r="R16" s="61">
        <v>80</v>
      </c>
      <c r="S16" s="61">
        <v>104</v>
      </c>
      <c r="T16" s="61"/>
      <c r="U16" s="61">
        <v>135</v>
      </c>
      <c r="V16" s="61">
        <v>80</v>
      </c>
      <c r="W16" s="61">
        <v>135</v>
      </c>
      <c r="X16" s="61"/>
      <c r="Y16" s="61">
        <v>135</v>
      </c>
      <c r="Z16" s="61">
        <v>80</v>
      </c>
      <c r="AA16" s="61">
        <v>135</v>
      </c>
      <c r="AB16" s="61"/>
      <c r="AC16" s="61">
        <v>89</v>
      </c>
      <c r="AD16" s="61">
        <v>80</v>
      </c>
      <c r="AE16" s="61">
        <v>89</v>
      </c>
      <c r="AF16" s="61"/>
      <c r="AG16" s="61">
        <v>89</v>
      </c>
      <c r="AH16" s="61">
        <v>80</v>
      </c>
      <c r="AI16" s="61">
        <v>89</v>
      </c>
      <c r="AJ16" s="61"/>
      <c r="AK16" s="61">
        <v>65</v>
      </c>
      <c r="AL16" s="61">
        <v>45</v>
      </c>
      <c r="AM16" s="61">
        <v>65</v>
      </c>
      <c r="AN16" s="61"/>
      <c r="AO16" s="61">
        <v>65</v>
      </c>
      <c r="AP16" s="61">
        <v>45</v>
      </c>
      <c r="AQ16" s="61">
        <v>65</v>
      </c>
      <c r="AR16" s="61"/>
      <c r="AS16" s="61">
        <v>129</v>
      </c>
      <c r="AT16" s="61">
        <v>4</v>
      </c>
      <c r="AU16" s="61">
        <v>129</v>
      </c>
      <c r="AV16" s="61"/>
    </row>
    <row r="17" spans="1:48" ht="12.75">
      <c r="A17" s="61">
        <v>483</v>
      </c>
      <c r="B17" s="61">
        <v>90</v>
      </c>
      <c r="C17" s="61">
        <v>483</v>
      </c>
      <c r="D17" s="61"/>
      <c r="E17" s="78">
        <v>96</v>
      </c>
      <c r="F17" s="78">
        <v>16</v>
      </c>
      <c r="G17" s="78">
        <v>96</v>
      </c>
      <c r="H17" s="78"/>
      <c r="I17" s="78">
        <v>101</v>
      </c>
      <c r="J17" s="78">
        <v>16</v>
      </c>
      <c r="K17" s="78">
        <v>101</v>
      </c>
      <c r="L17" s="61"/>
      <c r="M17" s="61">
        <v>164</v>
      </c>
      <c r="N17" s="61">
        <v>90</v>
      </c>
      <c r="O17" s="61">
        <v>164</v>
      </c>
      <c r="P17" s="61"/>
      <c r="Q17" s="61">
        <v>164</v>
      </c>
      <c r="R17" s="61">
        <v>90</v>
      </c>
      <c r="S17" s="61">
        <v>164</v>
      </c>
      <c r="T17" s="61"/>
      <c r="U17" s="61">
        <v>197</v>
      </c>
      <c r="V17" s="61">
        <v>90</v>
      </c>
      <c r="W17" s="61">
        <v>197</v>
      </c>
      <c r="X17" s="61"/>
      <c r="Y17" s="61">
        <v>197</v>
      </c>
      <c r="Z17" s="61">
        <v>90</v>
      </c>
      <c r="AA17" s="61">
        <v>197</v>
      </c>
      <c r="AB17" s="61"/>
      <c r="AC17" s="61">
        <v>130</v>
      </c>
      <c r="AD17" s="61">
        <v>90</v>
      </c>
      <c r="AE17" s="61">
        <v>130</v>
      </c>
      <c r="AF17" s="61"/>
      <c r="AG17" s="61">
        <v>130</v>
      </c>
      <c r="AH17" s="61">
        <v>90</v>
      </c>
      <c r="AI17" s="61">
        <v>130</v>
      </c>
      <c r="AJ17" s="61"/>
      <c r="AK17" s="61">
        <v>72</v>
      </c>
      <c r="AL17" s="61">
        <v>50</v>
      </c>
      <c r="AM17" s="61">
        <v>72</v>
      </c>
      <c r="AN17" s="61"/>
      <c r="AO17" s="61">
        <v>72</v>
      </c>
      <c r="AP17" s="61">
        <v>50</v>
      </c>
      <c r="AQ17" s="61">
        <v>72</v>
      </c>
      <c r="AR17" s="61"/>
      <c r="AS17" s="61">
        <v>145</v>
      </c>
      <c r="AT17" s="61">
        <v>4.5</v>
      </c>
      <c r="AU17" s="61">
        <v>145</v>
      </c>
      <c r="AV17" s="61"/>
    </row>
    <row r="18" spans="1:48" ht="12.75">
      <c r="A18" s="61">
        <v>520</v>
      </c>
      <c r="B18" s="61">
        <v>100</v>
      </c>
      <c r="C18" s="61">
        <v>520</v>
      </c>
      <c r="D18" s="61"/>
      <c r="E18" s="78">
        <v>104</v>
      </c>
      <c r="F18" s="78">
        <v>18</v>
      </c>
      <c r="G18" s="78">
        <v>104</v>
      </c>
      <c r="H18" s="78"/>
      <c r="I18" s="78">
        <v>110</v>
      </c>
      <c r="J18" s="78">
        <v>18</v>
      </c>
      <c r="K18" s="78">
        <v>110</v>
      </c>
      <c r="L18" s="61"/>
      <c r="M18" s="61">
        <v>223</v>
      </c>
      <c r="N18" s="61">
        <v>100</v>
      </c>
      <c r="O18" s="61">
        <v>223</v>
      </c>
      <c r="P18" s="61"/>
      <c r="Q18" s="61">
        <v>223</v>
      </c>
      <c r="R18" s="61">
        <v>100</v>
      </c>
      <c r="S18" s="61">
        <v>223</v>
      </c>
      <c r="T18" s="61"/>
      <c r="U18" s="61">
        <v>258</v>
      </c>
      <c r="V18" s="61">
        <v>100</v>
      </c>
      <c r="W18" s="61">
        <v>258</v>
      </c>
      <c r="X18" s="61"/>
      <c r="Y18" s="61">
        <v>258</v>
      </c>
      <c r="Z18" s="61">
        <v>100</v>
      </c>
      <c r="AA18" s="61">
        <v>258</v>
      </c>
      <c r="AB18" s="61"/>
      <c r="AC18" s="61">
        <v>173</v>
      </c>
      <c r="AD18" s="61">
        <v>100</v>
      </c>
      <c r="AE18" s="61">
        <v>173</v>
      </c>
      <c r="AF18" s="61"/>
      <c r="AG18" s="61">
        <v>173</v>
      </c>
      <c r="AH18" s="61">
        <v>100</v>
      </c>
      <c r="AI18" s="61">
        <v>173</v>
      </c>
      <c r="AJ18" s="61"/>
      <c r="AK18" s="61">
        <v>80</v>
      </c>
      <c r="AL18" s="61">
        <v>55</v>
      </c>
      <c r="AM18" s="61">
        <v>80</v>
      </c>
      <c r="AN18" s="61"/>
      <c r="AO18" s="61">
        <v>80</v>
      </c>
      <c r="AP18" s="61">
        <v>55</v>
      </c>
      <c r="AQ18" s="61">
        <v>80</v>
      </c>
      <c r="AR18" s="61"/>
      <c r="AS18" s="61">
        <v>162</v>
      </c>
      <c r="AT18" s="61">
        <v>5</v>
      </c>
      <c r="AU18" s="61">
        <v>162</v>
      </c>
      <c r="AV18" s="61"/>
    </row>
    <row r="19" spans="1:48" ht="12.75">
      <c r="A19" s="61">
        <v>556</v>
      </c>
      <c r="B19" s="61">
        <v>110</v>
      </c>
      <c r="C19" s="61">
        <v>556</v>
      </c>
      <c r="D19" s="61"/>
      <c r="E19" s="78">
        <v>117</v>
      </c>
      <c r="F19" s="78">
        <v>20</v>
      </c>
      <c r="G19" s="78">
        <v>117</v>
      </c>
      <c r="H19" s="78"/>
      <c r="I19" s="78">
        <v>130</v>
      </c>
      <c r="J19" s="78">
        <v>20</v>
      </c>
      <c r="K19" s="78">
        <v>130</v>
      </c>
      <c r="L19" s="61"/>
      <c r="M19" s="61">
        <v>278</v>
      </c>
      <c r="N19" s="61">
        <v>110</v>
      </c>
      <c r="O19" s="61">
        <v>278</v>
      </c>
      <c r="P19" s="61"/>
      <c r="Q19" s="61">
        <v>278</v>
      </c>
      <c r="R19" s="61">
        <v>110</v>
      </c>
      <c r="S19" s="61">
        <v>278</v>
      </c>
      <c r="T19" s="61"/>
      <c r="U19" s="61">
        <v>320</v>
      </c>
      <c r="V19" s="61">
        <v>110</v>
      </c>
      <c r="W19" s="61">
        <v>320</v>
      </c>
      <c r="X19" s="61"/>
      <c r="Y19" s="61">
        <v>320</v>
      </c>
      <c r="Z19" s="61">
        <v>110</v>
      </c>
      <c r="AA19" s="61">
        <v>320</v>
      </c>
      <c r="AB19" s="61"/>
      <c r="AC19" s="61">
        <v>216</v>
      </c>
      <c r="AD19" s="61">
        <v>110</v>
      </c>
      <c r="AE19" s="61">
        <v>216</v>
      </c>
      <c r="AF19" s="61"/>
      <c r="AG19" s="61">
        <v>216</v>
      </c>
      <c r="AH19" s="61">
        <v>110</v>
      </c>
      <c r="AI19" s="61">
        <v>216</v>
      </c>
      <c r="AJ19" s="61"/>
      <c r="AK19" s="61">
        <v>87</v>
      </c>
      <c r="AL19" s="61">
        <v>60</v>
      </c>
      <c r="AM19" s="61">
        <v>87</v>
      </c>
      <c r="AN19" s="61"/>
      <c r="AO19" s="61">
        <v>87</v>
      </c>
      <c r="AP19" s="61">
        <v>60</v>
      </c>
      <c r="AQ19" s="61">
        <v>87</v>
      </c>
      <c r="AR19" s="61"/>
      <c r="AS19" s="61">
        <v>178</v>
      </c>
      <c r="AT19" s="61">
        <v>5.5</v>
      </c>
      <c r="AU19" s="61">
        <v>178</v>
      </c>
      <c r="AV19" s="61"/>
    </row>
    <row r="20" spans="1:48" ht="12.75">
      <c r="A20" s="61">
        <v>592</v>
      </c>
      <c r="B20" s="61">
        <v>120</v>
      </c>
      <c r="C20" s="61">
        <v>592</v>
      </c>
      <c r="D20" s="61"/>
      <c r="E20" s="78">
        <v>144</v>
      </c>
      <c r="F20" s="78">
        <v>22</v>
      </c>
      <c r="G20" s="78">
        <v>144</v>
      </c>
      <c r="H20" s="78"/>
      <c r="I20" s="78">
        <v>160</v>
      </c>
      <c r="J20" s="78">
        <v>22</v>
      </c>
      <c r="K20" s="78">
        <v>160</v>
      </c>
      <c r="L20" s="61"/>
      <c r="M20" s="61">
        <v>333</v>
      </c>
      <c r="N20" s="61">
        <v>120</v>
      </c>
      <c r="O20" s="61">
        <v>333</v>
      </c>
      <c r="P20" s="61"/>
      <c r="Q20" s="61">
        <v>333</v>
      </c>
      <c r="R20" s="61">
        <v>120</v>
      </c>
      <c r="S20" s="61">
        <v>333</v>
      </c>
      <c r="T20" s="61"/>
      <c r="U20" s="61">
        <v>369</v>
      </c>
      <c r="V20" s="61">
        <v>118</v>
      </c>
      <c r="W20" s="61">
        <v>369</v>
      </c>
      <c r="X20" s="61"/>
      <c r="Y20" s="61">
        <v>369</v>
      </c>
      <c r="Z20" s="61">
        <v>118</v>
      </c>
      <c r="AA20" s="61">
        <v>369</v>
      </c>
      <c r="AB20" s="61"/>
      <c r="AC20" s="61">
        <v>259</v>
      </c>
      <c r="AD20" s="61">
        <v>120</v>
      </c>
      <c r="AE20" s="61">
        <v>259</v>
      </c>
      <c r="AF20" s="61"/>
      <c r="AG20" s="61">
        <v>259</v>
      </c>
      <c r="AH20" s="61">
        <v>120</v>
      </c>
      <c r="AI20" s="61">
        <v>259</v>
      </c>
      <c r="AJ20" s="61"/>
      <c r="AK20" s="61"/>
      <c r="AL20" s="61"/>
      <c r="AM20" s="61"/>
      <c r="AN20" s="61"/>
      <c r="AO20" s="61"/>
      <c r="AP20" s="61"/>
      <c r="AQ20" s="61"/>
      <c r="AR20" s="61"/>
      <c r="AS20" s="61">
        <v>195</v>
      </c>
      <c r="AT20" s="61">
        <v>6</v>
      </c>
      <c r="AU20" s="61">
        <v>195</v>
      </c>
      <c r="AV20" s="61"/>
    </row>
    <row r="21" spans="1:48" ht="12.75">
      <c r="A21" s="61">
        <v>604</v>
      </c>
      <c r="B21" s="61">
        <v>122</v>
      </c>
      <c r="C21" s="61">
        <v>604</v>
      </c>
      <c r="D21" s="61"/>
      <c r="E21" s="78">
        <v>173</v>
      </c>
      <c r="F21" s="78">
        <v>24</v>
      </c>
      <c r="G21" s="78">
        <v>173</v>
      </c>
      <c r="H21" s="78"/>
      <c r="I21" s="78">
        <v>193</v>
      </c>
      <c r="J21" s="78">
        <v>24</v>
      </c>
      <c r="K21" s="78">
        <v>193</v>
      </c>
      <c r="L21" s="61"/>
      <c r="M21" s="61">
        <v>369</v>
      </c>
      <c r="N21" s="61">
        <v>126.6</v>
      </c>
      <c r="O21" s="61">
        <v>369</v>
      </c>
      <c r="P21" s="61"/>
      <c r="Q21" s="61">
        <v>369</v>
      </c>
      <c r="R21" s="61">
        <v>126.6</v>
      </c>
      <c r="S21" s="61">
        <v>369</v>
      </c>
      <c r="T21" s="61"/>
      <c r="U21" s="61"/>
      <c r="V21" s="61"/>
      <c r="W21" s="61"/>
      <c r="X21" s="61"/>
      <c r="Y21" s="61"/>
      <c r="Z21" s="61"/>
      <c r="AA21" s="61"/>
      <c r="AB21" s="61"/>
      <c r="AC21" s="61">
        <v>305</v>
      </c>
      <c r="AD21" s="61">
        <v>130</v>
      </c>
      <c r="AE21" s="61">
        <v>305</v>
      </c>
      <c r="AF21" s="61"/>
      <c r="AG21" s="61">
        <v>305</v>
      </c>
      <c r="AH21" s="61">
        <v>130</v>
      </c>
      <c r="AI21" s="61">
        <v>305</v>
      </c>
      <c r="AJ21" s="61"/>
      <c r="AK21" s="61"/>
      <c r="AL21" s="61"/>
      <c r="AM21" s="61"/>
      <c r="AN21" s="61"/>
      <c r="AO21" s="61"/>
      <c r="AP21" s="61"/>
      <c r="AQ21" s="61"/>
      <c r="AR21" s="61"/>
      <c r="AS21" s="61">
        <v>210</v>
      </c>
      <c r="AT21" s="61">
        <v>6.5</v>
      </c>
      <c r="AU21" s="61">
        <v>210</v>
      </c>
      <c r="AV21" s="61"/>
    </row>
    <row r="22" spans="1:48" ht="12.75">
      <c r="A22" s="61"/>
      <c r="B22" s="61"/>
      <c r="C22" s="61"/>
      <c r="D22" s="61"/>
      <c r="E22" s="78">
        <v>203</v>
      </c>
      <c r="F22" s="78">
        <v>26</v>
      </c>
      <c r="G22" s="78">
        <v>203</v>
      </c>
      <c r="H22" s="78"/>
      <c r="I22" s="78">
        <v>224</v>
      </c>
      <c r="J22" s="78">
        <v>26</v>
      </c>
      <c r="K22" s="78">
        <v>224</v>
      </c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>
        <v>360</v>
      </c>
      <c r="AD22" s="61">
        <v>140</v>
      </c>
      <c r="AE22" s="61">
        <v>360</v>
      </c>
      <c r="AF22" s="61"/>
      <c r="AG22" s="61">
        <v>360</v>
      </c>
      <c r="AH22" s="61">
        <v>140</v>
      </c>
      <c r="AI22" s="61">
        <v>360</v>
      </c>
      <c r="AJ22" s="61"/>
      <c r="AK22" s="61"/>
      <c r="AL22" s="61"/>
      <c r="AM22" s="61"/>
      <c r="AN22" s="61"/>
      <c r="AO22" s="61"/>
      <c r="AP22" s="61"/>
      <c r="AQ22" s="61"/>
      <c r="AR22" s="61"/>
      <c r="AS22" s="61">
        <v>222</v>
      </c>
      <c r="AT22" s="61">
        <v>7</v>
      </c>
      <c r="AU22" s="61">
        <v>222</v>
      </c>
      <c r="AV22" s="61"/>
    </row>
    <row r="23" spans="1:48" ht="12.75">
      <c r="A23" s="61"/>
      <c r="B23" s="61"/>
      <c r="C23" s="61"/>
      <c r="D23" s="61"/>
      <c r="E23" s="78">
        <v>233</v>
      </c>
      <c r="F23" s="78">
        <v>28</v>
      </c>
      <c r="G23" s="78">
        <v>233</v>
      </c>
      <c r="H23" s="78"/>
      <c r="I23" s="78">
        <v>254</v>
      </c>
      <c r="J23" s="78">
        <v>28</v>
      </c>
      <c r="K23" s="78">
        <v>254</v>
      </c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>
        <v>369</v>
      </c>
      <c r="AD23" s="61">
        <v>141</v>
      </c>
      <c r="AE23" s="61">
        <v>369</v>
      </c>
      <c r="AF23" s="61"/>
      <c r="AG23" s="61">
        <v>369</v>
      </c>
      <c r="AH23" s="61">
        <v>141</v>
      </c>
      <c r="AI23" s="61">
        <v>369</v>
      </c>
      <c r="AJ23" s="61"/>
      <c r="AK23" s="61"/>
      <c r="AL23" s="61"/>
      <c r="AM23" s="61"/>
      <c r="AN23" s="61"/>
      <c r="AO23" s="61"/>
      <c r="AP23" s="61"/>
      <c r="AQ23" s="61"/>
      <c r="AR23" s="61"/>
      <c r="AS23" s="61">
        <v>233</v>
      </c>
      <c r="AT23" s="61">
        <v>7.5</v>
      </c>
      <c r="AU23" s="61">
        <v>233</v>
      </c>
      <c r="AV23" s="61"/>
    </row>
    <row r="24" spans="1:48" ht="12.75">
      <c r="A24" s="61"/>
      <c r="B24" s="61"/>
      <c r="C24" s="61"/>
      <c r="D24" s="61"/>
      <c r="E24" s="78">
        <v>263</v>
      </c>
      <c r="F24" s="78">
        <v>30</v>
      </c>
      <c r="G24" s="78">
        <v>263</v>
      </c>
      <c r="H24" s="78"/>
      <c r="I24" s="78">
        <v>280</v>
      </c>
      <c r="J24" s="78">
        <v>30</v>
      </c>
      <c r="K24" s="78">
        <v>280</v>
      </c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>
        <v>242</v>
      </c>
      <c r="AT24" s="61">
        <v>8</v>
      </c>
      <c r="AU24" s="61">
        <v>242</v>
      </c>
      <c r="AV24" s="61"/>
    </row>
    <row r="25" spans="1:48" ht="12.75">
      <c r="A25" s="61"/>
      <c r="B25" s="61"/>
      <c r="C25" s="61"/>
      <c r="D25" s="61"/>
      <c r="E25" s="78">
        <v>290</v>
      </c>
      <c r="F25" s="78">
        <v>32</v>
      </c>
      <c r="G25" s="78">
        <v>290</v>
      </c>
      <c r="H25" s="78"/>
      <c r="I25" s="78">
        <v>306</v>
      </c>
      <c r="J25" s="78">
        <v>32</v>
      </c>
      <c r="K25" s="78">
        <v>306</v>
      </c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>
        <v>250</v>
      </c>
      <c r="AT25" s="61">
        <v>8.5</v>
      </c>
      <c r="AU25" s="61">
        <v>250</v>
      </c>
      <c r="AV25" s="61"/>
    </row>
    <row r="26" spans="1:48" ht="12.75">
      <c r="A26" s="61"/>
      <c r="B26" s="61"/>
      <c r="C26" s="61"/>
      <c r="D26" s="61"/>
      <c r="E26" s="78">
        <v>318</v>
      </c>
      <c r="F26" s="78">
        <v>34</v>
      </c>
      <c r="G26" s="78">
        <v>318</v>
      </c>
      <c r="H26" s="78"/>
      <c r="I26" s="78">
        <v>332</v>
      </c>
      <c r="J26" s="78">
        <v>34</v>
      </c>
      <c r="K26" s="78">
        <v>332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>
        <v>255</v>
      </c>
      <c r="AT26" s="61">
        <v>9</v>
      </c>
      <c r="AU26" s="61">
        <v>255</v>
      </c>
      <c r="AV26" s="61"/>
    </row>
    <row r="27" spans="1:48" ht="12.75">
      <c r="A27" s="61"/>
      <c r="B27" s="61"/>
      <c r="C27" s="61"/>
      <c r="D27" s="61"/>
      <c r="E27" s="78">
        <v>344</v>
      </c>
      <c r="F27" s="78">
        <v>36</v>
      </c>
      <c r="G27" s="78">
        <v>344</v>
      </c>
      <c r="H27" s="78"/>
      <c r="I27" s="78">
        <v>357</v>
      </c>
      <c r="J27" s="78">
        <v>36</v>
      </c>
      <c r="K27" s="78">
        <v>357</v>
      </c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>
        <v>267</v>
      </c>
      <c r="AT27" s="61">
        <v>10</v>
      </c>
      <c r="AU27" s="61">
        <v>267</v>
      </c>
      <c r="AV27" s="61"/>
    </row>
    <row r="28" spans="1:48" ht="12.75">
      <c r="A28" s="61"/>
      <c r="B28" s="61"/>
      <c r="C28" s="61"/>
      <c r="D28" s="61"/>
      <c r="E28" s="78">
        <v>369</v>
      </c>
      <c r="F28" s="78">
        <v>37.7</v>
      </c>
      <c r="G28" s="78">
        <v>369</v>
      </c>
      <c r="H28" s="78"/>
      <c r="I28" s="78">
        <v>369</v>
      </c>
      <c r="J28" s="78">
        <v>36.7</v>
      </c>
      <c r="K28" s="78">
        <v>369</v>
      </c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>
        <v>272</v>
      </c>
      <c r="AT28" s="61">
        <v>10.5</v>
      </c>
      <c r="AU28" s="61">
        <v>272</v>
      </c>
      <c r="AV28" s="61"/>
    </row>
    <row r="29" spans="1:48" ht="12.75">
      <c r="A29" s="61"/>
      <c r="B29" s="61"/>
      <c r="C29" s="61"/>
      <c r="D29" s="61"/>
      <c r="E29" s="78"/>
      <c r="F29" s="78"/>
      <c r="G29" s="78"/>
      <c r="H29" s="78"/>
      <c r="I29" s="78">
        <v>108</v>
      </c>
      <c r="J29" s="78">
        <v>21.5</v>
      </c>
      <c r="K29" s="78">
        <v>108</v>
      </c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>
        <v>278</v>
      </c>
      <c r="AT29" s="61">
        <v>11</v>
      </c>
      <c r="AU29" s="61">
        <v>278</v>
      </c>
      <c r="AV29" s="61"/>
    </row>
    <row r="30" spans="1:48" ht="12.75">
      <c r="A30" s="61"/>
      <c r="B30" s="61"/>
      <c r="C30" s="61"/>
      <c r="D30" s="61"/>
      <c r="E30" s="78"/>
      <c r="F30" s="78"/>
      <c r="G30" s="78"/>
      <c r="H30" s="78"/>
      <c r="I30" s="78">
        <v>116</v>
      </c>
      <c r="J30" s="78">
        <v>22</v>
      </c>
      <c r="K30" s="78">
        <v>116</v>
      </c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>
        <v>286</v>
      </c>
      <c r="AT30" s="61">
        <v>11.5</v>
      </c>
      <c r="AU30" s="61">
        <v>286</v>
      </c>
      <c r="AV30" s="61"/>
    </row>
    <row r="31" spans="1:48" ht="12.75">
      <c r="A31" s="61"/>
      <c r="B31" s="61"/>
      <c r="C31" s="61"/>
      <c r="D31" s="61"/>
      <c r="E31" s="78"/>
      <c r="F31" s="78"/>
      <c r="G31" s="78"/>
      <c r="H31" s="78"/>
      <c r="I31" s="78">
        <v>127</v>
      </c>
      <c r="J31" s="78">
        <v>22.5</v>
      </c>
      <c r="K31" s="78">
        <v>127</v>
      </c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>
        <v>291</v>
      </c>
      <c r="AT31" s="61">
        <v>12</v>
      </c>
      <c r="AU31" s="61">
        <v>291</v>
      </c>
      <c r="AV31" s="61"/>
    </row>
    <row r="32" spans="1:48" ht="12.75">
      <c r="A32" s="61"/>
      <c r="B32" s="61"/>
      <c r="C32" s="61"/>
      <c r="D32" s="61"/>
      <c r="E32" s="78"/>
      <c r="F32" s="78"/>
      <c r="G32" s="78"/>
      <c r="H32" s="78"/>
      <c r="I32" s="78">
        <v>137</v>
      </c>
      <c r="J32" s="78">
        <v>23</v>
      </c>
      <c r="K32" s="78">
        <v>137</v>
      </c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>
        <v>296</v>
      </c>
      <c r="AT32" s="61">
        <v>12.5</v>
      </c>
      <c r="AU32" s="61">
        <v>296</v>
      </c>
      <c r="AV32" s="61"/>
    </row>
    <row r="33" spans="1:48" ht="12.75">
      <c r="A33" s="61"/>
      <c r="B33" s="61"/>
      <c r="C33" s="61"/>
      <c r="D33" s="61"/>
      <c r="E33" s="78"/>
      <c r="F33" s="78"/>
      <c r="G33" s="78"/>
      <c r="H33" s="78"/>
      <c r="I33" s="78">
        <v>146</v>
      </c>
      <c r="J33" s="78">
        <v>23.5</v>
      </c>
      <c r="K33" s="78">
        <v>146</v>
      </c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>
        <v>302</v>
      </c>
      <c r="AT33" s="61">
        <v>13</v>
      </c>
      <c r="AU33" s="61">
        <v>302</v>
      </c>
      <c r="AV33" s="61"/>
    </row>
    <row r="34" spans="1:48" ht="12.75">
      <c r="A34" s="61"/>
      <c r="B34" s="61"/>
      <c r="C34" s="61"/>
      <c r="D34" s="61"/>
      <c r="E34" s="78"/>
      <c r="F34" s="78"/>
      <c r="G34" s="78"/>
      <c r="H34" s="78"/>
      <c r="I34" s="78">
        <v>154</v>
      </c>
      <c r="J34" s="78">
        <v>24</v>
      </c>
      <c r="K34" s="78">
        <v>154</v>
      </c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>
        <v>308</v>
      </c>
      <c r="AT34" s="61">
        <v>13.5</v>
      </c>
      <c r="AU34" s="61">
        <v>308</v>
      </c>
      <c r="AV34" s="61"/>
    </row>
    <row r="35" spans="1:48" ht="12.75">
      <c r="A35" s="61"/>
      <c r="B35" s="61"/>
      <c r="C35" s="61"/>
      <c r="D35" s="61"/>
      <c r="E35" s="78"/>
      <c r="F35" s="78"/>
      <c r="G35" s="78"/>
      <c r="H35" s="78"/>
      <c r="I35" s="78">
        <v>162</v>
      </c>
      <c r="J35" s="78">
        <v>24.5</v>
      </c>
      <c r="K35" s="78">
        <v>162</v>
      </c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>
        <v>314</v>
      </c>
      <c r="AT35" s="61">
        <v>13.9</v>
      </c>
      <c r="AU35" s="61">
        <v>314</v>
      </c>
      <c r="AV35" s="61"/>
    </row>
    <row r="36" spans="1:48" ht="12.75">
      <c r="A36" s="61"/>
      <c r="B36" s="61"/>
      <c r="C36" s="61"/>
      <c r="D36" s="61"/>
      <c r="E36" s="78"/>
      <c r="F36" s="78"/>
      <c r="G36" s="78"/>
      <c r="H36" s="78"/>
      <c r="I36" s="78">
        <v>172</v>
      </c>
      <c r="J36" s="78">
        <v>25</v>
      </c>
      <c r="K36" s="78">
        <v>172</v>
      </c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</row>
    <row r="37" spans="1:48" ht="12.75">
      <c r="A37" s="61"/>
      <c r="B37" s="61"/>
      <c r="C37" s="61"/>
      <c r="D37" s="61"/>
      <c r="E37" s="78"/>
      <c r="F37" s="78"/>
      <c r="G37" s="78"/>
      <c r="H37" s="78"/>
      <c r="I37" s="78">
        <v>180</v>
      </c>
      <c r="J37" s="78">
        <v>25.5</v>
      </c>
      <c r="K37" s="78">
        <v>180</v>
      </c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</row>
    <row r="38" spans="1:48" ht="12.75">
      <c r="A38" s="61"/>
      <c r="B38" s="61"/>
      <c r="C38" s="61"/>
      <c r="D38" s="61"/>
      <c r="E38" s="78"/>
      <c r="F38" s="78"/>
      <c r="G38" s="78"/>
      <c r="H38" s="78"/>
      <c r="I38" s="78">
        <v>189</v>
      </c>
      <c r="J38" s="78">
        <v>26</v>
      </c>
      <c r="K38" s="78">
        <v>189</v>
      </c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</row>
    <row r="39" spans="1:48" ht="12.75">
      <c r="A39" s="61"/>
      <c r="B39" s="61"/>
      <c r="C39" s="61"/>
      <c r="D39" s="61"/>
      <c r="E39" s="78"/>
      <c r="F39" s="78"/>
      <c r="G39" s="78"/>
      <c r="H39" s="78"/>
      <c r="I39" s="78">
        <v>197</v>
      </c>
      <c r="J39" s="78">
        <v>26.5</v>
      </c>
      <c r="K39" s="78">
        <v>197</v>
      </c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</row>
    <row r="40" spans="1:48" ht="12.75">
      <c r="A40" s="61"/>
      <c r="B40" s="61"/>
      <c r="C40" s="61"/>
      <c r="D40" s="61"/>
      <c r="E40" s="78"/>
      <c r="F40" s="78"/>
      <c r="G40" s="78"/>
      <c r="H40" s="78"/>
      <c r="I40" s="78">
        <v>206</v>
      </c>
      <c r="J40" s="78">
        <v>27</v>
      </c>
      <c r="K40" s="78">
        <v>206</v>
      </c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</row>
    <row r="41" spans="1:48" ht="12.75">
      <c r="A41" s="61"/>
      <c r="B41" s="61"/>
      <c r="C41" s="61"/>
      <c r="D41" s="61"/>
      <c r="E41" s="78"/>
      <c r="F41" s="78"/>
      <c r="G41" s="78"/>
      <c r="H41" s="78"/>
      <c r="I41" s="78">
        <v>216</v>
      </c>
      <c r="J41" s="78">
        <v>27.5</v>
      </c>
      <c r="K41" s="78">
        <v>216</v>
      </c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</row>
    <row r="42" spans="1:48" ht="12.75">
      <c r="A42" s="61"/>
      <c r="B42" s="61"/>
      <c r="C42" s="61"/>
      <c r="D42" s="61"/>
      <c r="E42" s="78"/>
      <c r="F42" s="78"/>
      <c r="G42" s="78"/>
      <c r="H42" s="78"/>
      <c r="I42" s="78">
        <v>224</v>
      </c>
      <c r="J42" s="78">
        <v>28</v>
      </c>
      <c r="K42" s="78">
        <v>224</v>
      </c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</row>
    <row r="43" spans="1:48" ht="12.75">
      <c r="A43" s="61"/>
      <c r="B43" s="61"/>
      <c r="C43" s="61"/>
      <c r="D43" s="61"/>
      <c r="E43" s="78"/>
      <c r="F43" s="78"/>
      <c r="G43" s="78"/>
      <c r="H43" s="78"/>
      <c r="I43" s="78">
        <v>232</v>
      </c>
      <c r="J43" s="78">
        <v>28.5</v>
      </c>
      <c r="K43" s="78">
        <v>232</v>
      </c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</row>
    <row r="44" spans="1:48" ht="12.75">
      <c r="A44" s="61"/>
      <c r="B44" s="61"/>
      <c r="C44" s="61"/>
      <c r="D44" s="61"/>
      <c r="E44" s="78"/>
      <c r="F44" s="78"/>
      <c r="G44" s="78"/>
      <c r="H44" s="78"/>
      <c r="I44" s="78">
        <v>241</v>
      </c>
      <c r="J44" s="78">
        <v>29</v>
      </c>
      <c r="K44" s="78">
        <v>241</v>
      </c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</row>
    <row r="45" spans="1:48" ht="12.75">
      <c r="A45" s="61"/>
      <c r="B45" s="61"/>
      <c r="C45" s="61"/>
      <c r="D45" s="61"/>
      <c r="E45" s="78"/>
      <c r="F45" s="78"/>
      <c r="G45" s="78"/>
      <c r="H45" s="78"/>
      <c r="I45" s="78">
        <v>249</v>
      </c>
      <c r="J45" s="78">
        <v>29.5</v>
      </c>
      <c r="K45" s="78">
        <v>249</v>
      </c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</row>
    <row r="46" spans="1:48" ht="12.75">
      <c r="A46" s="61"/>
      <c r="B46" s="61"/>
      <c r="C46" s="61"/>
      <c r="D46" s="61"/>
      <c r="E46" s="78"/>
      <c r="F46" s="78"/>
      <c r="G46" s="78"/>
      <c r="H46" s="78"/>
      <c r="I46" s="78">
        <v>256</v>
      </c>
      <c r="J46" s="78">
        <v>30</v>
      </c>
      <c r="K46" s="78">
        <v>256</v>
      </c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</row>
    <row r="47" spans="1:48" ht="12.75">
      <c r="A47" s="61"/>
      <c r="B47" s="61"/>
      <c r="C47" s="61"/>
      <c r="D47" s="61"/>
      <c r="E47" s="78"/>
      <c r="F47" s="78"/>
      <c r="G47" s="78"/>
      <c r="H47" s="78"/>
      <c r="I47" s="78">
        <v>264</v>
      </c>
      <c r="J47" s="78">
        <v>30.5</v>
      </c>
      <c r="K47" s="78">
        <v>264</v>
      </c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</row>
    <row r="48" spans="1:48" ht="12.75">
      <c r="A48" s="61"/>
      <c r="B48" s="61"/>
      <c r="C48" s="61"/>
      <c r="D48" s="61"/>
      <c r="E48" s="78"/>
      <c r="F48" s="78"/>
      <c r="G48" s="78"/>
      <c r="H48" s="78"/>
      <c r="I48" s="78">
        <v>268</v>
      </c>
      <c r="J48" s="78">
        <v>30.7</v>
      </c>
      <c r="K48" s="78">
        <v>268</v>
      </c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</row>
    <row r="49" spans="1:48" ht="12.7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</row>
    <row r="50" spans="1:48" ht="12.7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FLOT</cp:lastModifiedBy>
  <cp:lastPrinted>2002-05-17T12:45:49Z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