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Default Extension="bmp" ContentType="image/bmp"/>
  <Default Extension="wmf" ContentType="image/x-wmf"/>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2190" tabRatio="877" activeTab="0"/>
  </bookViews>
  <sheets>
    <sheet name="Ballast &amp; Consumb" sheetId="1" r:id="rId1"/>
    <sheet name="stowage " sheetId="2" r:id="rId2"/>
    <sheet name="Stability" sheetId="3" r:id="rId3"/>
    <sheet name="GrainStab" sheetId="4" r:id="rId4"/>
    <sheet name="convert" sheetId="5" r:id="rId5"/>
    <sheet name="Initial" sheetId="6" r:id="rId6"/>
    <sheet name="ds" sheetId="7" r:id="rId7"/>
    <sheet name="ds2" sheetId="8" r:id="rId8"/>
    <sheet name="wk2" sheetId="9" r:id="rId9"/>
    <sheet name="stmt" sheetId="10" r:id="rId10"/>
    <sheet name="database" sheetId="11" r:id="rId11"/>
    <sheet name="data2" sheetId="12" r:id="rId12"/>
    <sheet name="ctrl" sheetId="13" r:id="rId13"/>
    <sheet name="info" sheetId="14" r:id="rId14"/>
    <sheet name="dimensions" sheetId="15" r:id="rId15"/>
  </sheets>
  <externalReferences>
    <externalReference r:id="rId18"/>
  </externalReferences>
  <definedNames>
    <definedName name="_xlnm.Print_Area" localSheetId="3">'GrainStab'!$L$1:$U$59</definedName>
  </definedNames>
  <calcPr fullCalcOnLoad="1"/>
</workbook>
</file>

<file path=xl/comments2.xml><?xml version="1.0" encoding="utf-8"?>
<comments xmlns="http://schemas.openxmlformats.org/spreadsheetml/2006/main">
  <authors>
    <author>Bewa</author>
  </authors>
  <commentList>
    <comment ref="A14" authorId="0">
      <text>
        <r>
          <rPr>
            <b/>
            <sz val="8"/>
            <color indexed="12"/>
            <rFont val="Arial"/>
            <family val="2"/>
          </rPr>
          <t>Standard Conditions:</t>
        </r>
        <r>
          <rPr>
            <sz val="8"/>
            <rFont val="Tahoma"/>
            <family val="0"/>
          </rPr>
          <t xml:space="preserve">
</t>
        </r>
        <r>
          <rPr>
            <sz val="8"/>
            <color indexed="10"/>
            <rFont val="Tahoma"/>
            <family val="2"/>
          </rPr>
          <t>1.Homogeneous -</t>
        </r>
        <r>
          <rPr>
            <sz val="8"/>
            <rFont val="Tahoma"/>
            <family val="0"/>
          </rPr>
          <t xml:space="preserve">
hold is full up to top with any light homogen.cargo (grain, some kinds of coal, etc.) SF is high; trim by stem is essential.
</t>
        </r>
        <r>
          <rPr>
            <sz val="8"/>
            <color indexed="10"/>
            <rFont val="Tahoma"/>
            <family val="2"/>
          </rPr>
          <t>2.Homogeneous Partly Loaded -</t>
        </r>
        <r>
          <rPr>
            <sz val="8"/>
            <rFont val="Tahoma"/>
            <family val="0"/>
          </rPr>
          <t xml:space="preserve"> heavy cargoes (stones,etc.) loaded into holds 1&amp; 2
   as two mountains. LCG of each "mountain" to be determined "by eye". KG for each part between "half" and "mountained"
</t>
        </r>
        <r>
          <rPr>
            <sz val="8"/>
            <color indexed="10"/>
            <rFont val="Tahoma"/>
            <family val="2"/>
          </rPr>
          <t xml:space="preserve">3.Coal - hold #2 is full, hold #1 is partly loaded </t>
        </r>
        <r>
          <rPr>
            <sz val="8"/>
            <rFont val="Tahoma"/>
            <family val="0"/>
          </rPr>
          <t xml:space="preserve">-
acceptable for any homog. cargoes with high SF, when the volume of No.1 hold is not 
fully used. For hold #2 KG is 4.41 m, for #1 is to be determined "by eye", but default value is accebtable. Trim by stern under this condition is optional.
</t>
        </r>
        <r>
          <rPr>
            <sz val="8"/>
            <color indexed="10"/>
            <rFont val="Tahoma"/>
            <family val="2"/>
          </rPr>
          <t>4.Nonhomogeheous Cargo -</t>
        </r>
        <r>
          <rPr>
            <sz val="8"/>
            <rFont val="Tahoma"/>
            <family val="0"/>
          </rPr>
          <t xml:space="preserve">
Applicable when different kinds of heavy cargo are to be loaded without or with separation.(For exemple, three kinds of stones of diff.grade, not to be mixed.)
KG is low for each part of cargo ("mountained"), LCG - approximate, but try to determine it as accurate as possible. </t>
        </r>
        <r>
          <rPr>
            <sz val="8"/>
            <color indexed="12"/>
            <rFont val="Tahoma"/>
            <family val="2"/>
          </rPr>
          <t>An optimal disposition of cargo should be:</t>
        </r>
        <r>
          <rPr>
            <sz val="8"/>
            <rFont val="Tahoma"/>
            <family val="0"/>
          </rPr>
          <t xml:space="preserve">
</t>
        </r>
        <r>
          <rPr>
            <sz val="8"/>
            <color indexed="12"/>
            <rFont val="Tahoma"/>
            <family val="2"/>
          </rPr>
          <t xml:space="preserve">30% </t>
        </r>
        <r>
          <rPr>
            <sz val="8"/>
            <rFont val="Tahoma"/>
            <family val="0"/>
          </rPr>
          <t xml:space="preserve">of total weight in aft part, </t>
        </r>
        <r>
          <rPr>
            <sz val="8"/>
            <color indexed="12"/>
            <rFont val="Tahoma"/>
            <family val="2"/>
          </rPr>
          <t>40%</t>
        </r>
        <r>
          <rPr>
            <sz val="8"/>
            <rFont val="Tahoma"/>
            <family val="0"/>
          </rPr>
          <t xml:space="preserve"> in the middle and </t>
        </r>
        <r>
          <rPr>
            <sz val="8"/>
            <color indexed="12"/>
            <rFont val="Tahoma"/>
            <family val="2"/>
          </rPr>
          <t>30%</t>
        </r>
        <r>
          <rPr>
            <sz val="8"/>
            <rFont val="Tahoma"/>
            <family val="0"/>
          </rPr>
          <t xml:space="preserve"> in fore part from midship section.</t>
        </r>
        <r>
          <rPr>
            <sz val="8"/>
            <color indexed="16"/>
            <rFont val="Tahoma"/>
            <family val="2"/>
          </rPr>
          <t xml:space="preserve"> Wrong disposition (LCG) </t>
        </r>
        <r>
          <rPr>
            <sz val="8"/>
            <rFont val="Tahoma"/>
            <family val="0"/>
          </rPr>
          <t>of "end" parts (fore &amp; aft) of cargo may cause such a non-desirable consequences, as a mix of cargoes, unexpected and uncorrected trim by stem or stern and other headache.</t>
        </r>
      </text>
    </comment>
  </commentList>
</comments>
</file>

<file path=xl/comments6.xml><?xml version="1.0" encoding="utf-8"?>
<comments xmlns="http://schemas.openxmlformats.org/spreadsheetml/2006/main">
  <authors>
    <author>Bewa</author>
  </authors>
  <commentList>
    <comment ref="D14" authorId="0">
      <text>
        <r>
          <rPr>
            <b/>
            <sz val="8"/>
            <rFont val="Tahoma"/>
            <family val="0"/>
          </rPr>
          <t xml:space="preserve">To enter this data, click on the cell
"CARGO", linked with "stowage".  Fill up the "cargo" columns in the table.
Then go back to "initial".
</t>
        </r>
      </text>
    </comment>
  </commentList>
</comments>
</file>

<file path=xl/sharedStrings.xml><?xml version="1.0" encoding="utf-8"?>
<sst xmlns="http://schemas.openxmlformats.org/spreadsheetml/2006/main" count="1044" uniqueCount="573">
  <si>
    <t>Space</t>
  </si>
  <si>
    <t>FPK</t>
  </si>
  <si>
    <t>DB 1 S&amp;P</t>
  </si>
  <si>
    <t>DB 2 side S&amp;P</t>
  </si>
  <si>
    <t>DB 2 CL</t>
  </si>
  <si>
    <t>DB 3 side S&amp;P</t>
  </si>
  <si>
    <t>DB 3 CL</t>
  </si>
  <si>
    <t>DB 4 side S&amp;P</t>
  </si>
  <si>
    <t>DB 4 CL</t>
  </si>
  <si>
    <t>DB 5 S&amp;P</t>
  </si>
  <si>
    <t>Aft Pk</t>
  </si>
  <si>
    <t>Setting Tanks</t>
  </si>
  <si>
    <t>Daytank</t>
  </si>
  <si>
    <t>DB 6 S&amp;P</t>
  </si>
  <si>
    <t>Hydr. Oil S</t>
  </si>
  <si>
    <t>Waste tank P</t>
  </si>
  <si>
    <t>Waste tank S</t>
  </si>
  <si>
    <t>LO tank</t>
  </si>
  <si>
    <t>CARGO HOLD</t>
  </si>
  <si>
    <t>Cont</t>
  </si>
  <si>
    <t>Volume</t>
  </si>
  <si>
    <t>LCG</t>
  </si>
  <si>
    <t>KG</t>
  </si>
  <si>
    <t>Weight</t>
  </si>
  <si>
    <t>Long Mom</t>
  </si>
  <si>
    <t>Vert Mom</t>
  </si>
  <si>
    <t>Free surf</t>
  </si>
  <si>
    <t>Constant</t>
  </si>
  <si>
    <t>Lightweight</t>
  </si>
  <si>
    <t>Displacement</t>
  </si>
  <si>
    <t>FW</t>
  </si>
  <si>
    <t>LCB</t>
  </si>
  <si>
    <t>LCF</t>
  </si>
  <si>
    <t>KML</t>
  </si>
  <si>
    <t>DEADWEIGHT</t>
  </si>
  <si>
    <t>Trimming lever</t>
  </si>
  <si>
    <t>TRIM</t>
  </si>
  <si>
    <t>Trim Aft</t>
  </si>
  <si>
    <t>Trim FWD</t>
  </si>
  <si>
    <t>Corr Metac.Height</t>
  </si>
  <si>
    <t>Corr for free surfcs</t>
  </si>
  <si>
    <t>LOA</t>
  </si>
  <si>
    <t>BW</t>
  </si>
  <si>
    <t>LO</t>
  </si>
  <si>
    <t>100% Vol</t>
  </si>
  <si>
    <t>BW Density</t>
  </si>
  <si>
    <t>CARGO</t>
  </si>
  <si>
    <t>COMPARTMENT</t>
  </si>
  <si>
    <t>Consump</t>
  </si>
  <si>
    <t>Consump(sea)</t>
  </si>
  <si>
    <t>DISPLACEMENT</t>
  </si>
  <si>
    <t>DRAFT</t>
  </si>
  <si>
    <t>TPC</t>
  </si>
  <si>
    <t>upper figures</t>
  </si>
  <si>
    <t>Voy.#</t>
  </si>
  <si>
    <t>DB 1 S</t>
  </si>
  <si>
    <t>DB 1 P</t>
  </si>
  <si>
    <t>DB 2 side S</t>
  </si>
  <si>
    <t>DB 2 side P</t>
  </si>
  <si>
    <t>DB 3 side S</t>
  </si>
  <si>
    <t>DB 3 side P</t>
  </si>
  <si>
    <t>DB 4 side S</t>
  </si>
  <si>
    <t>DB 4 side P</t>
  </si>
  <si>
    <t>DB 5 S</t>
  </si>
  <si>
    <t>DB 5 P</t>
  </si>
  <si>
    <t>DB 6 S(FW)</t>
  </si>
  <si>
    <t>DB 6 P(FW)</t>
  </si>
  <si>
    <t>Total ballast</t>
  </si>
  <si>
    <t>Total FW</t>
  </si>
  <si>
    <t>DRAFT SURVEY</t>
  </si>
  <si>
    <t>port</t>
  </si>
  <si>
    <t>sb</t>
  </si>
  <si>
    <t>korr</t>
  </si>
  <si>
    <t>FW korr.</t>
  </si>
  <si>
    <t>AFT</t>
  </si>
  <si>
    <t>AFT korr.</t>
  </si>
  <si>
    <t>TRIM korr.</t>
  </si>
  <si>
    <t>MIDS.app.</t>
  </si>
  <si>
    <t>MDR.app.corr</t>
  </si>
  <si>
    <t>MM1</t>
  </si>
  <si>
    <t>MM2</t>
  </si>
  <si>
    <t>SW Displ.</t>
  </si>
  <si>
    <t>Corr 1</t>
  </si>
  <si>
    <t>Corr 2</t>
  </si>
  <si>
    <t>tr. Corr/Displ</t>
  </si>
  <si>
    <t>Dens.corr</t>
  </si>
  <si>
    <t>Dens.</t>
  </si>
  <si>
    <t>Corr&gt;Displ</t>
  </si>
  <si>
    <t>DO</t>
  </si>
  <si>
    <t>LUB.O</t>
  </si>
  <si>
    <t>WB</t>
  </si>
  <si>
    <t xml:space="preserve"> </t>
  </si>
  <si>
    <t>CONSTANT</t>
  </si>
  <si>
    <t xml:space="preserve">CARGO </t>
  </si>
  <si>
    <t>O/B</t>
  </si>
  <si>
    <t>feet</t>
  </si>
  <si>
    <t>meters</t>
  </si>
  <si>
    <t>inch</t>
  </si>
  <si>
    <t>Portside draft</t>
  </si>
  <si>
    <t>Stbd draft</t>
  </si>
  <si>
    <t>feet/inch</t>
  </si>
  <si>
    <t>fwd</t>
  </si>
  <si>
    <t>mid</t>
  </si>
  <si>
    <t>aft</t>
  </si>
  <si>
    <t>draft</t>
  </si>
  <si>
    <t>displ</t>
  </si>
  <si>
    <t>min</t>
  </si>
  <si>
    <t>max</t>
  </si>
  <si>
    <t>diff</t>
  </si>
  <si>
    <t>DISPL</t>
  </si>
  <si>
    <t>GM longitudinal</t>
  </si>
  <si>
    <t>Total LO</t>
  </si>
  <si>
    <t>FWD</t>
  </si>
  <si>
    <t>KM long</t>
  </si>
  <si>
    <t>GM transv</t>
  </si>
  <si>
    <t>KM transv</t>
  </si>
  <si>
    <t>Lpp</t>
  </si>
  <si>
    <r>
      <t>L</t>
    </r>
    <r>
      <rPr>
        <sz val="10"/>
        <rFont val="Arial"/>
        <family val="0"/>
      </rPr>
      <t xml:space="preserve"> btw dr.marks</t>
    </r>
  </si>
  <si>
    <t>Act.Dens.</t>
  </si>
  <si>
    <t>Tab.Dens</t>
  </si>
  <si>
    <t>coefficient</t>
  </si>
  <si>
    <r>
      <t xml:space="preserve">Determination of </t>
    </r>
    <r>
      <rPr>
        <b/>
        <sz val="10"/>
        <color indexed="10"/>
        <rFont val="Arial"/>
        <family val="2"/>
      </rPr>
      <t xml:space="preserve">Displ </t>
    </r>
    <r>
      <rPr>
        <b/>
        <sz val="10"/>
        <rFont val="Arial"/>
        <family val="2"/>
      </rPr>
      <t xml:space="preserve">entering the </t>
    </r>
    <r>
      <rPr>
        <b/>
        <sz val="10"/>
        <color indexed="12"/>
        <rFont val="Arial"/>
        <family val="2"/>
      </rPr>
      <t>draft</t>
    </r>
  </si>
  <si>
    <r>
      <t xml:space="preserve">Determin of </t>
    </r>
    <r>
      <rPr>
        <b/>
        <sz val="10"/>
        <color indexed="10"/>
        <rFont val="Arial"/>
        <family val="2"/>
      </rPr>
      <t>Draft</t>
    </r>
    <r>
      <rPr>
        <b/>
        <sz val="10"/>
        <rFont val="Arial"/>
        <family val="2"/>
      </rPr>
      <t xml:space="preserve"> using </t>
    </r>
    <r>
      <rPr>
        <b/>
        <sz val="10"/>
        <color indexed="12"/>
        <rFont val="Arial"/>
        <family val="2"/>
      </rPr>
      <t>DISPL</t>
    </r>
  </si>
  <si>
    <t>sw4/fw5</t>
  </si>
  <si>
    <t>sw10/fw11</t>
  </si>
  <si>
    <t>Stowage Factor</t>
  </si>
  <si>
    <t>From Hydrostatic Data:</t>
  </si>
  <si>
    <t>Initial draft</t>
  </si>
  <si>
    <t>Dspl(cu.m)</t>
  </si>
  <si>
    <t>New draft</t>
  </si>
  <si>
    <t>Old Density</t>
  </si>
  <si>
    <t>New Density</t>
  </si>
  <si>
    <t>Trim Change:</t>
  </si>
  <si>
    <t>MTC</t>
  </si>
  <si>
    <t>Dspl (ton)</t>
  </si>
  <si>
    <t>Change of Trim</t>
  </si>
  <si>
    <t>Old Trim</t>
  </si>
  <si>
    <t>New Trim</t>
  </si>
  <si>
    <t>on pp</t>
  </si>
  <si>
    <t>on draft marks</t>
  </si>
  <si>
    <t>crew &amp; stores</t>
  </si>
  <si>
    <t>Old Draft FWD</t>
  </si>
  <si>
    <t>Old Draft AFT</t>
  </si>
  <si>
    <t>New Draft FWD</t>
  </si>
  <si>
    <t>New Draft AFT</t>
  </si>
  <si>
    <t>HOLD</t>
  </si>
  <si>
    <t>FRAMES</t>
  </si>
  <si>
    <t>Vol in cu.m.</t>
  </si>
  <si>
    <t>Vol in cft</t>
  </si>
  <si>
    <t>VCG</t>
  </si>
  <si>
    <t>21 - 92</t>
  </si>
  <si>
    <t>21 - 100</t>
  </si>
  <si>
    <t>CALCULATED LOADING CONDITION</t>
  </si>
  <si>
    <t>tonnes</t>
  </si>
  <si>
    <t>Cargo Loaded</t>
  </si>
  <si>
    <t>Actual SF</t>
  </si>
  <si>
    <t xml:space="preserve">Total Ballast </t>
  </si>
  <si>
    <t>Draft FWD</t>
  </si>
  <si>
    <t>m.</t>
  </si>
  <si>
    <t>Draft Aft</t>
  </si>
  <si>
    <t>Mean Draft</t>
  </si>
  <si>
    <t>Trim</t>
  </si>
  <si>
    <t>Metacentric Height</t>
  </si>
  <si>
    <t>Rolling Period</t>
  </si>
  <si>
    <t>sec</t>
  </si>
  <si>
    <t>Displ</t>
  </si>
  <si>
    <t>cu.m.</t>
  </si>
  <si>
    <t>Displ cu.m.</t>
  </si>
  <si>
    <t>check loading condition</t>
  </si>
  <si>
    <t>STOWAGE  PLAN</t>
  </si>
  <si>
    <t>PARTS</t>
  </si>
  <si>
    <t>Moment</t>
  </si>
  <si>
    <t>TOTAL</t>
  </si>
  <si>
    <t>LCG of cargo</t>
  </si>
  <si>
    <t xml:space="preserve"> LO DENSITY</t>
  </si>
  <si>
    <t>LBP</t>
  </si>
  <si>
    <t>Frames</t>
  </si>
  <si>
    <t>1 frame</t>
  </si>
  <si>
    <t>LBP/2</t>
  </si>
  <si>
    <t>Fr/2</t>
  </si>
  <si>
    <t>hold (20-114)</t>
  </si>
  <si>
    <t>hold aft part</t>
  </si>
  <si>
    <t>fwd part</t>
  </si>
  <si>
    <t>length,m.</t>
  </si>
  <si>
    <t>Division</t>
  </si>
  <si>
    <t>DWT</t>
  </si>
  <si>
    <t>Summer max.DWT(F)</t>
  </si>
  <si>
    <t>max CGO</t>
  </si>
  <si>
    <t>LIMITATION:</t>
  </si>
  <si>
    <t>By Draft</t>
  </si>
  <si>
    <t>CGO onboard</t>
  </si>
  <si>
    <t>DO/LO/BW</t>
  </si>
  <si>
    <t>Lcf  (6)</t>
  </si>
  <si>
    <t>TPC  (4)</t>
  </si>
  <si>
    <t>Diff MTC(10)</t>
  </si>
  <si>
    <t>WHEN THE TRIM IS GREATER THAN:</t>
  </si>
  <si>
    <t>MTC (MMM+50cm)</t>
  </si>
  <si>
    <t>MMM+50</t>
  </si>
  <si>
    <t>MTC (MMM-50cm)</t>
  </si>
  <si>
    <t>MMM-50</t>
  </si>
  <si>
    <t>dMTC</t>
  </si>
  <si>
    <r>
      <t xml:space="preserve">MTC (MMM+50cm)  </t>
    </r>
    <r>
      <rPr>
        <sz val="10"/>
        <color indexed="18"/>
        <rFont val="Arial"/>
        <family val="2"/>
      </rPr>
      <t>(10)</t>
    </r>
  </si>
  <si>
    <r>
      <t xml:space="preserve">MTC (MMM-50cm)  </t>
    </r>
    <r>
      <rPr>
        <sz val="10"/>
        <color indexed="18"/>
        <rFont val="Arial"/>
        <family val="2"/>
      </rPr>
      <t>(10)</t>
    </r>
  </si>
  <si>
    <t>Light Ship</t>
  </si>
  <si>
    <t>LENGTH OVERALL</t>
  </si>
  <si>
    <t>GROSS TONNAGE</t>
  </si>
  <si>
    <t>BREADTH (moulded)</t>
  </si>
  <si>
    <t>NET TONNAGE</t>
  </si>
  <si>
    <t>DEPTH (moulded)</t>
  </si>
  <si>
    <t>FULL LOAD DRAFT</t>
  </si>
  <si>
    <t>LENGTH BETWEEN PERP.</t>
  </si>
  <si>
    <t>FULL LOAD DISPLCMNT</t>
  </si>
  <si>
    <t>dL</t>
  </si>
  <si>
    <t>DEADWEIGHT (summer)</t>
  </si>
  <si>
    <t>Xf</t>
  </si>
  <si>
    <t>L. BETW.DRAFT MARKS</t>
  </si>
  <si>
    <t>LIGHT SHIP WEIGHT</t>
  </si>
  <si>
    <t>DRAFT    OBSERVED</t>
  </si>
  <si>
    <t>CONDITION 1:</t>
  </si>
  <si>
    <t>light</t>
  </si>
  <si>
    <t>CONDITION 2 :</t>
  </si>
  <si>
    <t>loaded</t>
  </si>
  <si>
    <t>port/s</t>
  </si>
  <si>
    <t>stbd</t>
  </si>
  <si>
    <t>MEAN</t>
  </si>
  <si>
    <t>FORE</t>
  </si>
  <si>
    <t>MID</t>
  </si>
  <si>
    <t>APPARENT TRIM</t>
  </si>
  <si>
    <t>Density</t>
  </si>
  <si>
    <t>Water Ballast</t>
  </si>
  <si>
    <t>COND.1</t>
  </si>
  <si>
    <t>density</t>
  </si>
  <si>
    <t>total:</t>
  </si>
  <si>
    <t>FRESH WATER</t>
  </si>
  <si>
    <t>specific gravity</t>
  </si>
  <si>
    <t>Total Consumables &amp; Ballast:</t>
  </si>
  <si>
    <t xml:space="preserve"> Enter the Hydrostatic Tables (for Sea Wtr) :</t>
  </si>
  <si>
    <t>DISPLCM</t>
  </si>
  <si>
    <t>TOTAL CARGO OF</t>
  </si>
  <si>
    <t>M.V</t>
  </si>
  <si>
    <t>Port of</t>
  </si>
  <si>
    <t xml:space="preserve">                         DRAFT        STATEMENT</t>
  </si>
  <si>
    <t>Starting:</t>
  </si>
  <si>
    <t>Finishing:</t>
  </si>
  <si>
    <t>DRAFT FWD port</t>
  </si>
  <si>
    <t>DRAFT FWD stbd</t>
  </si>
  <si>
    <t>DRAFT FWD MEAN</t>
  </si>
  <si>
    <t>stem correction</t>
  </si>
  <si>
    <t>DRAFT FWD COR.D</t>
  </si>
  <si>
    <t>DRAFT AFT port</t>
  </si>
  <si>
    <t>DRAFT AFT stbd</t>
  </si>
  <si>
    <t xml:space="preserve">DRAFT AFT MEAN </t>
  </si>
  <si>
    <t>stern correction</t>
  </si>
  <si>
    <t>DRAFT AFT COR.D</t>
  </si>
  <si>
    <t>MEAN FORE&amp;AFT</t>
  </si>
  <si>
    <t>DRAFT MID PORT</t>
  </si>
  <si>
    <t>DRAFT MID STBD</t>
  </si>
  <si>
    <t>DRAFT MID.MEAN</t>
  </si>
  <si>
    <t>MEAN of MEANS</t>
  </si>
  <si>
    <t>MEAN of MEAN/MEANS</t>
  </si>
  <si>
    <t xml:space="preserve">DISPLACEMENT </t>
  </si>
  <si>
    <t>TRIM corrected</t>
  </si>
  <si>
    <t>Correction for TRIM</t>
  </si>
  <si>
    <t>Second correction</t>
  </si>
  <si>
    <t>DISPL.CORRTD for TRIM</t>
  </si>
  <si>
    <t>observd DENSITY</t>
  </si>
  <si>
    <t>Correction for Density</t>
  </si>
  <si>
    <t>DISPL.C0RRTD for Dnsty</t>
  </si>
  <si>
    <t>TOTAL CONSUM/BALL</t>
  </si>
  <si>
    <t>DISPL.CORR.TED C/B</t>
  </si>
  <si>
    <t>LIGHT SHIP</t>
  </si>
  <si>
    <t>REAL VALUE OF CONSTANT</t>
  </si>
  <si>
    <t>TOTAL CARGO ON BOARD</t>
  </si>
  <si>
    <t>Total Cargo loaded:</t>
  </si>
  <si>
    <t>DATE :</t>
  </si>
  <si>
    <t>Chief Officer</t>
  </si>
  <si>
    <t>Draft Surveyor</t>
  </si>
  <si>
    <t>Total DO</t>
  </si>
  <si>
    <t>Draft</t>
  </si>
  <si>
    <t>CGO</t>
  </si>
  <si>
    <t>Draft Diff</t>
  </si>
  <si>
    <t>Tons to Load</t>
  </si>
  <si>
    <t>for total:</t>
  </si>
  <si>
    <t xml:space="preserve">Initial </t>
  </si>
  <si>
    <t xml:space="preserve">Final </t>
  </si>
  <si>
    <t>MTC difference</t>
  </si>
  <si>
    <t>see below</t>
  </si>
  <si>
    <r>
      <t xml:space="preserve">d </t>
    </r>
    <r>
      <rPr>
        <sz val="6"/>
        <rFont val="Arial"/>
        <family val="2"/>
      </rPr>
      <t>fwd mark/L btwn draft marks</t>
    </r>
  </si>
  <si>
    <r>
      <t xml:space="preserve">d </t>
    </r>
    <r>
      <rPr>
        <sz val="6"/>
        <rFont val="Arial"/>
        <family val="2"/>
      </rPr>
      <t>aft mark/L btwn draft marks</t>
    </r>
  </si>
  <si>
    <t>New Mean Draft</t>
  </si>
  <si>
    <t>Old Mean Draft</t>
  </si>
  <si>
    <t>Change Of Mean Draft</t>
  </si>
  <si>
    <t>18' 04''</t>
  </si>
  <si>
    <t>18' 06''</t>
  </si>
  <si>
    <t>100 % VOLUME</t>
  </si>
  <si>
    <t>VOLUME</t>
  </si>
  <si>
    <t>WEIGHT</t>
  </si>
  <si>
    <t>T0TAL CONSUMABLES &amp; BALLAST</t>
  </si>
  <si>
    <t>TRIMMING DATA</t>
  </si>
  <si>
    <t>Port of:</t>
  </si>
  <si>
    <t>Date:</t>
  </si>
  <si>
    <t>Total Consum/Ballast &amp; Constant</t>
  </si>
  <si>
    <t>DRAFT FORE</t>
  </si>
  <si>
    <t>DRAFT AFT</t>
  </si>
  <si>
    <t>MEAN DRAFT</t>
  </si>
  <si>
    <t>Draught</t>
  </si>
  <si>
    <t>DSPL SW</t>
  </si>
  <si>
    <t>DSPL FW</t>
  </si>
  <si>
    <t>DSPL cu.m.</t>
  </si>
  <si>
    <t>TPC SW</t>
  </si>
  <si>
    <t>TPC FW</t>
  </si>
  <si>
    <t>MTC SW</t>
  </si>
  <si>
    <t>MTC FW</t>
  </si>
  <si>
    <t>KM</t>
  </si>
  <si>
    <t>KM L</t>
  </si>
  <si>
    <t>Sea Water</t>
  </si>
  <si>
    <t>Displ (FW)</t>
  </si>
  <si>
    <t>Displ (SW)</t>
  </si>
  <si>
    <t>Fresh Water</t>
  </si>
  <si>
    <t>Displ cu.m</t>
  </si>
  <si>
    <t>TPC (SW)</t>
  </si>
  <si>
    <t>TPC (FW)</t>
  </si>
  <si>
    <t>MTC (SW)</t>
  </si>
  <si>
    <t>MTC (FW)</t>
  </si>
  <si>
    <t>full</t>
  </si>
  <si>
    <t>half</t>
  </si>
  <si>
    <t>mountained</t>
  </si>
  <si>
    <t>Total KG of cargo</t>
  </si>
  <si>
    <t>Rolling Period (sec.)</t>
  </si>
  <si>
    <t>Calculated</t>
  </si>
  <si>
    <t>on perpendiculars</t>
  </si>
  <si>
    <t>transverce</t>
  </si>
  <si>
    <t>Loaded:</t>
  </si>
  <si>
    <t>Mean</t>
  </si>
  <si>
    <t>THIS SECTION IS FOR CHANGE OF DRAFT CALCULATION ONLY</t>
  </si>
  <si>
    <t>Enter the New water density:</t>
  </si>
  <si>
    <t>Old</t>
  </si>
  <si>
    <t>New</t>
  </si>
  <si>
    <t>Change of Draft</t>
  </si>
  <si>
    <t>Draft Fore (on pp)</t>
  </si>
  <si>
    <t>Draft Aft (on pp)</t>
  </si>
  <si>
    <t>tpc</t>
  </si>
  <si>
    <t>lcf</t>
  </si>
  <si>
    <t>lcb</t>
  </si>
  <si>
    <t>THIS SECTION IS FOR DRAFT SURVEY CALCULATION ONLY</t>
  </si>
  <si>
    <t>in ballast</t>
  </si>
  <si>
    <t>Initial</t>
  </si>
  <si>
    <t>Final</t>
  </si>
  <si>
    <t>DRAFT SURVEY STATEMENT</t>
  </si>
  <si>
    <t>mt</t>
  </si>
  <si>
    <t>Total cargo loaded:</t>
  </si>
  <si>
    <t>Total Cargo discharged:</t>
  </si>
  <si>
    <t>LOADED</t>
  </si>
  <si>
    <t>IN BALLAST</t>
  </si>
  <si>
    <t>Under your loading condition:</t>
  </si>
  <si>
    <t>Enter the Apparent Drafts:</t>
  </si>
  <si>
    <t>p/side</t>
  </si>
  <si>
    <t>stbd/side</t>
  </si>
  <si>
    <t>Fore</t>
  </si>
  <si>
    <t>Aft</t>
  </si>
  <si>
    <t>mean</t>
  </si>
  <si>
    <t>Calculated draft is:</t>
  </si>
  <si>
    <t>Observed Density of water:</t>
  </si>
  <si>
    <t>Real Cargo onboard:</t>
  </si>
  <si>
    <t>Calculated:</t>
  </si>
  <si>
    <t>Assumed Constant:</t>
  </si>
  <si>
    <t>Calculated Constant:</t>
  </si>
  <si>
    <t>Go to Draft Survey Statement</t>
  </si>
  <si>
    <t>A</t>
  </si>
  <si>
    <t>F</t>
  </si>
  <si>
    <t>T</t>
  </si>
  <si>
    <t>O</t>
  </si>
  <si>
    <t>R</t>
  </si>
  <si>
    <t>E</t>
  </si>
  <si>
    <t>Vert. Centre of Gravity</t>
  </si>
  <si>
    <t>Free Surface Effect</t>
  </si>
  <si>
    <t>Fluid VCG</t>
  </si>
  <si>
    <t>Assumed VCG</t>
  </si>
  <si>
    <t>Diff VCG</t>
  </si>
  <si>
    <r>
      <t xml:space="preserve">sin </t>
    </r>
    <r>
      <rPr>
        <b/>
        <sz val="10"/>
        <rFont val="Symbol"/>
        <family val="1"/>
      </rPr>
      <t>j</t>
    </r>
  </si>
  <si>
    <t>MS</t>
  </si>
  <si>
    <r>
      <t xml:space="preserve">G'M*sin </t>
    </r>
    <r>
      <rPr>
        <b/>
        <sz val="10"/>
        <rFont val="Symbol"/>
        <family val="1"/>
      </rPr>
      <t>j</t>
    </r>
  </si>
  <si>
    <t>Corr-d for fs Metac.Height (G'M.)</t>
  </si>
  <si>
    <t>Heeling Angle</t>
  </si>
  <si>
    <t>Righting Lever (G'Z)</t>
  </si>
  <si>
    <r>
      <t xml:space="preserve">G'Z=MS+G'M.*sin </t>
    </r>
    <r>
      <rPr>
        <b/>
        <sz val="8"/>
        <rFont val="Symbol"/>
        <family val="1"/>
      </rPr>
      <t>j</t>
    </r>
  </si>
  <si>
    <r>
      <t xml:space="preserve"> </t>
    </r>
    <r>
      <rPr>
        <b/>
        <sz val="11"/>
        <rFont val="Symbol"/>
        <family val="1"/>
      </rPr>
      <t>j</t>
    </r>
  </si>
  <si>
    <t>21-100</t>
  </si>
  <si>
    <t>Vol. cu.m.</t>
  </si>
  <si>
    <t>Vol cu.f</t>
  </si>
  <si>
    <t>Heel.Mom</t>
  </si>
  <si>
    <t>CONDITION</t>
  </si>
  <si>
    <t>SF</t>
  </si>
  <si>
    <t>KG'</t>
  </si>
  <si>
    <t>I</t>
  </si>
  <si>
    <t>Mh</t>
  </si>
  <si>
    <t>Max.Mom</t>
  </si>
  <si>
    <t>Full Volume loaded</t>
  </si>
  <si>
    <t>Partly loaded</t>
  </si>
  <si>
    <t>21-92</t>
  </si>
  <si>
    <t>TOTAL:</t>
  </si>
  <si>
    <t>Max.Heel.Mom.</t>
  </si>
  <si>
    <t>actual</t>
  </si>
  <si>
    <t>Corr-d for free surf. Metac.Height (G'M.)</t>
  </si>
  <si>
    <t>Free Surf. Corr-d VCG</t>
  </si>
  <si>
    <t>WEIGHT OF CARGO</t>
  </si>
  <si>
    <t>STOWAGE FACTOR</t>
  </si>
  <si>
    <t>GRAIN HEELING MOMENT</t>
  </si>
  <si>
    <t>ACTUAL GRAIN HEEL.MOM.</t>
  </si>
  <si>
    <t>MAX. ALLOWABLE HEEL.MOM.</t>
  </si>
  <si>
    <t>cu.f</t>
  </si>
  <si>
    <t>tonn</t>
  </si>
  <si>
    <t>t*m.</t>
  </si>
  <si>
    <r>
      <t>m</t>
    </r>
    <r>
      <rPr>
        <sz val="8"/>
        <rFont val="Bookshelf Symbol 1"/>
        <family val="2"/>
      </rPr>
      <t>4</t>
    </r>
  </si>
  <si>
    <r>
      <t>KG</t>
    </r>
    <r>
      <rPr>
        <i/>
        <sz val="10"/>
        <rFont val="Times New Roman"/>
        <family val="1"/>
      </rPr>
      <t>'</t>
    </r>
  </si>
  <si>
    <t>GoZ at 30 Deg</t>
  </si>
  <si>
    <t>not lesser than 0.2 m.</t>
  </si>
  <si>
    <r>
      <t xml:space="preserve"> </t>
    </r>
    <r>
      <rPr>
        <sz val="11"/>
        <rFont val="Symbol"/>
        <family val="1"/>
      </rPr>
      <t xml:space="preserve">j </t>
    </r>
    <r>
      <rPr>
        <sz val="11"/>
        <rFont val="Times New Roman"/>
        <family val="1"/>
      </rPr>
      <t>at GZ max</t>
    </r>
  </si>
  <si>
    <r>
      <t xml:space="preserve"> </t>
    </r>
    <r>
      <rPr>
        <sz val="11"/>
        <rFont val="Symbol"/>
        <family val="1"/>
      </rPr>
      <t xml:space="preserve">j </t>
    </r>
    <r>
      <rPr>
        <sz val="11"/>
        <rFont val="Times New Roman"/>
        <family val="1"/>
      </rPr>
      <t>Flooding</t>
    </r>
  </si>
  <si>
    <t>for DISPL:</t>
  </si>
  <si>
    <t>for DISPL (min):</t>
  </si>
  <si>
    <t>for DISPL (max):</t>
  </si>
  <si>
    <t>MS 5</t>
  </si>
  <si>
    <t>MS 10</t>
  </si>
  <si>
    <t>MS 20</t>
  </si>
  <si>
    <t>MS 30</t>
  </si>
  <si>
    <t>MS 45</t>
  </si>
  <si>
    <t>MS 60</t>
  </si>
  <si>
    <t>MS 75</t>
  </si>
  <si>
    <t>GZ</t>
  </si>
  <si>
    <r>
      <t xml:space="preserve">G'Z=MS+G'M.*sin </t>
    </r>
    <r>
      <rPr>
        <b/>
        <sz val="10"/>
        <rFont val="Symbol"/>
        <family val="1"/>
      </rPr>
      <t>j</t>
    </r>
  </si>
  <si>
    <r>
      <t xml:space="preserve"> </t>
    </r>
    <r>
      <rPr>
        <b/>
        <sz val="11"/>
        <rFont val="Symbol"/>
        <family val="1"/>
      </rPr>
      <t>j</t>
    </r>
    <r>
      <rPr>
        <b/>
        <sz val="11"/>
        <rFont val="Times New Roman"/>
        <family val="1"/>
      </rPr>
      <t xml:space="preserve"> (degrees)</t>
    </r>
  </si>
  <si>
    <t>THE PRESENT DISPLACEMENT IS:</t>
  </si>
  <si>
    <t xml:space="preserve">Open the manual on enclosure No.3 </t>
  </si>
  <si>
    <t>(Tables for max.allowable grain heeling moments)</t>
  </si>
  <si>
    <t>Find the nearest lower DISPL.:</t>
  </si>
  <si>
    <t>The  VCG is:</t>
  </si>
  <si>
    <t>Find the nearest min. VCG for this DISPL.:</t>
  </si>
  <si>
    <t>Find the nearest max. VCG for this DISPL.:</t>
  </si>
  <si>
    <t>Find the nearest higher DISPL.:</t>
  </si>
  <si>
    <t xml:space="preserve">attention: automatic block! </t>
  </si>
  <si>
    <t>and</t>
  </si>
  <si>
    <t>ATTENTION ! THIS IS AUTOMATIC SECTION! ANY CHANGES MAY DAMAGE CALCULATIONS!</t>
  </si>
  <si>
    <t>Days to Go:</t>
  </si>
  <si>
    <t>consump.@sea cu.m:</t>
  </si>
  <si>
    <t>DO Density</t>
  </si>
  <si>
    <t>Cargo:</t>
  </si>
  <si>
    <t>METACENTRIC HEIGHT (corrected)</t>
  </si>
  <si>
    <t xml:space="preserve">To make necessary correction in "Stowage" </t>
  </si>
  <si>
    <t>Difference:</t>
  </si>
  <si>
    <t>AUTOR:</t>
  </si>
  <si>
    <t>what the hell is not clear to you?</t>
  </si>
  <si>
    <t>I hope you understand, that all of this just can help you</t>
  </si>
  <si>
    <t xml:space="preserve">to estimate an intended loading, and obtain the final draughts, but... </t>
  </si>
  <si>
    <t>or parts of it. The "stowage" section is for this purpose, but you must feell it yourself.</t>
  </si>
  <si>
    <t xml:space="preserve">click on my muzzle when finished. No fear... </t>
  </si>
  <si>
    <t>It is so simply, easier is just to do nothing...</t>
  </si>
  <si>
    <t>See Note here</t>
  </si>
  <si>
    <t>HERE YOU WILL FIND SOME HELPFULL INFORMATION:</t>
  </si>
  <si>
    <t>Hold # 1:</t>
  </si>
  <si>
    <t>Hold # 2:</t>
  </si>
  <si>
    <t>A very approximate volume in cu.metres:</t>
  </si>
  <si>
    <t>total cargo:</t>
  </si>
  <si>
    <t>hold # 2:</t>
  </si>
  <si>
    <t>hold # 1:</t>
  </si>
  <si>
    <t>So, if holds are full, and total weight of cargo is determined, you may assume:</t>
  </si>
  <si>
    <r>
      <t xml:space="preserve">Total estimated hold deck area is  </t>
    </r>
    <r>
      <rPr>
        <sz val="10"/>
        <rFont val="Arial"/>
        <family val="2"/>
      </rPr>
      <t>532 square metres</t>
    </r>
    <r>
      <rPr>
        <sz val="10"/>
        <color indexed="12"/>
        <rFont val="Arial"/>
        <family val="2"/>
      </rPr>
      <t>.</t>
    </r>
  </si>
  <si>
    <t>An accuracy  fully depends on Longitudinal Centre of Gravity of the Cargo,</t>
  </si>
  <si>
    <t>Anyhow, man, it's better than stuck with your nose into  tables, isn't it ?</t>
  </si>
  <si>
    <t>GO</t>
  </si>
  <si>
    <t>winter</t>
  </si>
  <si>
    <t>1.Nov - 31.Mar</t>
  </si>
  <si>
    <t>31.Mar - 1.Nov</t>
  </si>
  <si>
    <t>Statical  Stability</t>
  </si>
  <si>
    <t>Required Draught:</t>
  </si>
  <si>
    <t>Displacement:</t>
  </si>
  <si>
    <t>G.O/L.O/F.W:</t>
  </si>
  <si>
    <t>Water Ballast:</t>
  </si>
  <si>
    <t>Cargo to  Load:</t>
  </si>
  <si>
    <t>Go back</t>
  </si>
  <si>
    <t>Density:</t>
  </si>
  <si>
    <t>New Density:</t>
  </si>
  <si>
    <t>New Draft:</t>
  </si>
  <si>
    <t>Corrected VCG (KG')</t>
  </si>
  <si>
    <t>GM (metacentric height)</t>
  </si>
  <si>
    <t>not lesser than 0.3 m.</t>
  </si>
  <si>
    <t>not lesser than 25 degrees</t>
  </si>
  <si>
    <t>GoZ at 30 degrees</t>
  </si>
  <si>
    <t>Draught Fwd:</t>
  </si>
  <si>
    <t>Mean:</t>
  </si>
  <si>
    <t>Aft:</t>
  </si>
  <si>
    <t>Trim:</t>
  </si>
  <si>
    <t>Water salinity:</t>
  </si>
  <si>
    <t>For water density:</t>
  </si>
  <si>
    <t xml:space="preserve"> LCG of Const:</t>
  </si>
  <si>
    <t>GAS OIL</t>
  </si>
  <si>
    <t>LUB OIL</t>
  </si>
  <si>
    <t xml:space="preserve">WATER BALLAST </t>
  </si>
  <si>
    <t>LOADING METHODS</t>
  </si>
  <si>
    <t>SOME OF LOADING METHODS</t>
  </si>
  <si>
    <t>STANDARD # 1</t>
  </si>
  <si>
    <t>mark for him positions of these Five Peaks and then go to bed. Don't forget, however, to ask</t>
  </si>
  <si>
    <t>somebody to wake you up after loading is completed.</t>
  </si>
  <si>
    <t>in your Fantasy Flight to make any improvisations or alternations in the way of loading.</t>
  </si>
  <si>
    <t>If you decided instead, to spend your day (or night) on deck, you are absolutely free</t>
  </si>
  <si>
    <t>It takes quite much time &amp; place to explain the exact positions of the Peaks, but there are</t>
  </si>
  <si>
    <t>some recommendations:</t>
  </si>
  <si>
    <r>
      <t xml:space="preserve">Succesfully applied for vessel, preliminary fully </t>
    </r>
    <r>
      <rPr>
        <b/>
        <sz val="8"/>
        <color indexed="16"/>
        <rFont val="Arial"/>
        <family val="2"/>
      </rPr>
      <t>deballasted prior commence of loading.</t>
    </r>
  </si>
  <si>
    <t xml:space="preserve">    </t>
  </si>
  <si>
    <t>In Hold # 1 :</t>
  </si>
  <si>
    <t>Peak 1 -</t>
  </si>
  <si>
    <t>Peak 3 -</t>
  </si>
  <si>
    <t>In Hold # 2 :</t>
  </si>
  <si>
    <t>Peak 5 -</t>
  </si>
  <si>
    <t>Peak 4 -</t>
  </si>
  <si>
    <t>Peak 2 -</t>
  </si>
  <si>
    <t>4th frame from aft part of hatch coaming</t>
  </si>
  <si>
    <t>16th frame from aft part of hatch coaming</t>
  </si>
  <si>
    <t>4th frame from fwd part of hatch coaming</t>
  </si>
  <si>
    <t>18th frame from fwd part of hatch coaming</t>
  </si>
  <si>
    <t>15th frame from aft part of hatch coaming</t>
  </si>
  <si>
    <t xml:space="preserve">    Then - 600 t to pos.2</t>
  </si>
  <si>
    <t xml:space="preserve">    Then - 300 t to pos.3</t>
  </si>
  <si>
    <t xml:space="preserve">    Then - 300 t to pos.4</t>
  </si>
  <si>
    <t xml:space="preserve">    Then - 300 t to pos.5</t>
  </si>
  <si>
    <t xml:space="preserve">    Finally - 300 t to pos.5  And here you can dispose this cargo back or fwd for trimming.</t>
  </si>
  <si>
    <t>You can vary ammount of cargo to obtain desirable quantity and trim.</t>
  </si>
  <si>
    <t xml:space="preserve">                                   or stuck one end into the ground due to misunderstanding, wrong reading</t>
  </si>
  <si>
    <t xml:space="preserve">   or improvisations of above written.</t>
  </si>
  <si>
    <r>
      <t xml:space="preserve">This famous method is mostly known as </t>
    </r>
    <r>
      <rPr>
        <b/>
        <sz val="8"/>
        <color indexed="17"/>
        <rFont val="Arial"/>
        <family val="2"/>
      </rPr>
      <t>"Five Peaks Method"</t>
    </r>
    <r>
      <rPr>
        <b/>
        <sz val="8"/>
        <rFont val="Arial"/>
        <family val="2"/>
      </rPr>
      <t xml:space="preserve">, or </t>
    </r>
    <r>
      <rPr>
        <b/>
        <sz val="8"/>
        <color indexed="20"/>
        <rFont val="Arial"/>
        <family val="2"/>
      </rPr>
      <t>"El Metodo De Los Cinque Pikos"</t>
    </r>
  </si>
  <si>
    <t>All you have to do, using this glorious method, is just prepare a "Stowage Plan" for stewedor,</t>
  </si>
  <si>
    <t>1. Even though this is a "Peak's" method, the cargo must be loaded from side to side, forming  the "edges".</t>
  </si>
  <si>
    <t>2. Choose positions for each Peak,(or Edge) finding them out from their LCG (dist. from middle),  or:</t>
  </si>
  <si>
    <t>Given positions are quite approximate.</t>
  </si>
  <si>
    <t>It is also recommended, that you divide loading on 7 - 8 sequences to avoid an extremal trim in the</t>
  </si>
  <si>
    <t>Ronnskar</t>
  </si>
  <si>
    <t>zinc cocentrate</t>
  </si>
  <si>
    <t>New on Draft Marks</t>
  </si>
  <si>
    <t>Fwd</t>
  </si>
  <si>
    <t>D(F+A)/2</t>
  </si>
  <si>
    <t>(crew &amp; stores not included)</t>
  </si>
  <si>
    <t>Approximate trim expected:</t>
  </si>
  <si>
    <r>
      <t xml:space="preserve"> </t>
    </r>
    <r>
      <rPr>
        <b/>
        <sz val="8"/>
        <color indexed="62"/>
        <rFont val="Arial"/>
        <family val="2"/>
      </rPr>
      <t>Start with Peak # 1 - full 600 t.</t>
    </r>
  </si>
  <si>
    <t xml:space="preserve">For example: </t>
  </si>
  <si>
    <t>For draft survey in Light Condition</t>
  </si>
  <si>
    <t>STABILITY SECTION</t>
  </si>
  <si>
    <t>way of loading.</t>
  </si>
  <si>
    <r>
      <t>Good luck!</t>
    </r>
    <r>
      <rPr>
        <b/>
        <sz val="9"/>
        <color indexed="10"/>
        <rFont val="Arial"/>
        <family val="2"/>
      </rPr>
      <t xml:space="preserve"> </t>
    </r>
    <r>
      <rPr>
        <b/>
        <u val="single"/>
        <sz val="9"/>
        <color indexed="10"/>
        <rFont val="Arial"/>
        <family val="2"/>
      </rPr>
      <t>Remember:</t>
    </r>
    <r>
      <rPr>
        <b/>
        <sz val="9"/>
        <color indexed="10"/>
        <rFont val="Arial"/>
        <family val="2"/>
      </rPr>
      <t xml:space="preserve"> The Autor is in no way responsible for vessel capsising, sinking alongside,</t>
    </r>
  </si>
  <si>
    <t>2.50 m.</t>
  </si>
  <si>
    <t>10 mm</t>
  </si>
  <si>
    <t>5.00 m.</t>
  </si>
  <si>
    <t>6.20 m.</t>
  </si>
  <si>
    <t>12.0 m.</t>
  </si>
  <si>
    <t>MIDSHIP SECTION</t>
  </si>
  <si>
    <t>D 0.80 m.</t>
  </si>
  <si>
    <t>Dimentions not completed</t>
  </si>
  <si>
    <t>GO R.O.B</t>
  </si>
  <si>
    <t>new</t>
  </si>
  <si>
    <t>old</t>
  </si>
  <si>
    <t>FW R.O.B</t>
  </si>
  <si>
    <t>R.O.B FW:</t>
  </si>
  <si>
    <t>Applicable for all ports with a Handling Facilities, not requiring vessel's shiftings. (Ronnskar, Storungs etc.)</t>
  </si>
  <si>
    <t>However, if there is just a mobile conveyor and shiftings required, you'd better try another method.</t>
  </si>
  <si>
    <t>This is a classic method, approved by myself, but based on the hard experience</t>
  </si>
  <si>
    <t>http://seasoft.by.ru</t>
  </si>
  <si>
    <t>G.A.P</t>
  </si>
  <si>
    <t>mailto:navigo@imail.ru</t>
  </si>
  <si>
    <t>of previous  Chief Mates.</t>
  </si>
  <si>
    <t>m.v</t>
  </si>
  <si>
    <t xml:space="preserve">Please do not change any data here! </t>
  </si>
  <si>
    <t>AN AUTOMATIC SECTION!!!</t>
  </si>
  <si>
    <t>ANY CHANGES IN THIS PAGE MAY DESTROY FORMULAES!!!!</t>
  </si>
  <si>
    <t>SUMMER DWT = 3220</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</si>
</sst>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00"/>
    <numFmt numFmtId="173" formatCode="0.00000"/>
    <numFmt numFmtId="174" formatCode="0.0"/>
    <numFmt numFmtId="175" formatCode="0.000"/>
    <numFmt numFmtId="176" formatCode="0.0000000"/>
    <numFmt numFmtId="177" formatCode="0.000000"/>
    <numFmt numFmtId="178" formatCode="0.0000"/>
    <numFmt numFmtId="179" formatCode="&quot;$&quot;#,##0;&quot;$&quot;\-#,##0"/>
    <numFmt numFmtId="180" formatCode="&quot;$&quot;#,##0;[Red]&quot;$&quot;\-#,##0"/>
    <numFmt numFmtId="181" formatCode="&quot;$&quot;#,##0.00;&quot;$&quot;\-#,##0.00"/>
    <numFmt numFmtId="182" formatCode="&quot;$&quot;#,##0.00;[Red]&quot;$&quot;\-#,##0.00"/>
    <numFmt numFmtId="183" formatCode="_ &quot;$&quot;* #,##0_ ;_ &quot;$&quot;* \-#,##0_ ;_ &quot;$&quot;* &quot;-&quot;_ ;_ @_ "/>
    <numFmt numFmtId="184" formatCode="_ * #,##0_ ;_ * \-#,##0_ ;_ * &quot;-&quot;_ ;_ @_ "/>
    <numFmt numFmtId="185" formatCode="_ &quot;$&quot;* #,##0.00_ ;_ &quot;$&quot;* \-#,##0.00_ ;_ &quot;$&quot;* &quot;-&quot;??_ ;_ @_ "/>
    <numFmt numFmtId="186" formatCode="_ * #,##0.00_ ;_ * \-#,##0.00_ ;_ * &quot;-&quot;??_ ;_ @_ "/>
    <numFmt numFmtId="187" formatCode="&quot;Ј&quot;#,##0;\-&quot;Ј&quot;#,##0"/>
    <numFmt numFmtId="188" formatCode="&quot;Ј&quot;#,##0;[Red]\-&quot;Ј&quot;#,##0"/>
    <numFmt numFmtId="189" formatCode="&quot;Ј&quot;#,##0.00;\-&quot;Ј&quot;#,##0.00"/>
    <numFmt numFmtId="190" formatCode="&quot;Ј&quot;#,##0.00;[Red]\-&quot;Ј&quot;#,##0.00"/>
    <numFmt numFmtId="191" formatCode="_-&quot;Ј&quot;* #,##0_-;\-&quot;Ј&quot;* #,##0_-;_-&quot;Ј&quot;* &quot;-&quot;_-;_-@_-"/>
    <numFmt numFmtId="192" formatCode="_-&quot;Ј&quot;* #,##0.00_-;\-&quot;Ј&quot;* #,##0.00_-;_-&quot;Ј&quot;* &quot;-&quot;??_-;_-@_-"/>
    <numFmt numFmtId="193" formatCode="&quot;S/&quot;#,##0;&quot;S/&quot;\-#,##0"/>
    <numFmt numFmtId="194" formatCode="&quot;S/&quot;#,##0;[Red]&quot;S/&quot;\-#,##0"/>
    <numFmt numFmtId="195" formatCode="&quot;S/&quot;#,##0.00;&quot;S/&quot;\-#,##0.00"/>
    <numFmt numFmtId="196" formatCode="&quot;S/&quot;#,##0.00;[Red]&quot;S/&quot;\-#,##0.00"/>
    <numFmt numFmtId="197" formatCode="_ &quot;S/&quot;* #,##0_ ;_ &quot;S/&quot;* \-#,##0_ ;_ &quot;S/&quot;* &quot;-&quot;_ ;_ @_ "/>
    <numFmt numFmtId="198" formatCode="_ &quot;S/&quot;* #,##0.00_ ;_ &quot;S/&quot;* \-#,##0.00_ ;_ &quot;S/&quot;* &quot;-&quot;??_ ;_ @_ "/>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0000000"/>
    <numFmt numFmtId="208" formatCode="_(* #,##0.0_);_(* \(#,##0.0\);_(* &quot;-&quot;??_);_(@_)"/>
    <numFmt numFmtId="209" formatCode="_(* #,##0.000_);_(* \(#,##0.000\);_(* &quot;-&quot;??_);_(@_)"/>
    <numFmt numFmtId="210" formatCode="0.000000000000000"/>
    <numFmt numFmtId="211" formatCode="m/d/yy\ h:mm"/>
    <numFmt numFmtId="212" formatCode="00000"/>
    <numFmt numFmtId="213" formatCode="_-* #,##0.000_-;\-* #,##0.000_-;_-* &quot;-&quot;??_-;_-@_-"/>
    <numFmt numFmtId="214" formatCode="_-* #,##0.0_-;\-* #,##0.0_-;_-* &quot;-&quot;??_-;_-@_-"/>
    <numFmt numFmtId="215" formatCode="_-* #,##0_-;\-* #,##0_-;_-* &quot;-&quot;??_-;_-@_-"/>
  </numFmts>
  <fonts count="190">
    <font>
      <sz val="10"/>
      <name val="Arial"/>
      <family val="0"/>
    </font>
    <font>
      <b/>
      <sz val="10"/>
      <name val="Arial"/>
      <family val="2"/>
    </font>
    <font>
      <i/>
      <sz val="10"/>
      <name val="Arial"/>
      <family val="2"/>
    </font>
    <font>
      <u val="single"/>
      <sz val="10"/>
      <name val="Arial"/>
      <family val="2"/>
    </font>
    <font>
      <b/>
      <sz val="14"/>
      <color indexed="8"/>
      <name val="Arial"/>
      <family val="2"/>
    </font>
    <font>
      <b/>
      <sz val="8"/>
      <name val="Arial"/>
      <family val="2"/>
    </font>
    <font>
      <b/>
      <sz val="8"/>
      <color indexed="8"/>
      <name val="Arial"/>
      <family val="2"/>
    </font>
    <font>
      <sz val="8"/>
      <name val="Arial"/>
      <family val="2"/>
    </font>
    <font>
      <sz val="10"/>
      <color indexed="8"/>
      <name val="Arial"/>
      <family val="2"/>
    </font>
    <font>
      <b/>
      <sz val="10"/>
      <color indexed="18"/>
      <name val="Arial"/>
      <family val="2"/>
    </font>
    <font>
      <b/>
      <sz val="10"/>
      <color indexed="10"/>
      <name val="Arial"/>
      <family val="2"/>
    </font>
    <font>
      <sz val="10"/>
      <color indexed="9"/>
      <name val="Arial"/>
      <family val="2"/>
    </font>
    <font>
      <b/>
      <sz val="10"/>
      <name val="Times New Roman"/>
      <family val="1"/>
    </font>
    <font>
      <sz val="10"/>
      <color indexed="18"/>
      <name val="Arial"/>
      <family val="2"/>
    </font>
    <font>
      <i/>
      <sz val="10"/>
      <color indexed="18"/>
      <name val="Arial"/>
      <family val="2"/>
    </font>
    <font>
      <sz val="10"/>
      <color indexed="10"/>
      <name val="Arial"/>
      <family val="2"/>
    </font>
    <font>
      <b/>
      <sz val="10"/>
      <color indexed="12"/>
      <name val="Arial"/>
      <family val="2"/>
    </font>
    <font>
      <sz val="10"/>
      <color indexed="12"/>
      <name val="Arial"/>
      <family val="2"/>
    </font>
    <font>
      <i/>
      <sz val="10"/>
      <color indexed="12"/>
      <name val="Arial"/>
      <family val="2"/>
    </font>
    <font>
      <b/>
      <sz val="10"/>
      <color indexed="16"/>
      <name val="Arial"/>
      <family val="2"/>
    </font>
    <font>
      <u val="single"/>
      <sz val="10"/>
      <color indexed="12"/>
      <name val="Arial"/>
      <family val="0"/>
    </font>
    <font>
      <u val="single"/>
      <sz val="10"/>
      <color indexed="36"/>
      <name val="Arial"/>
      <family val="0"/>
    </font>
    <font>
      <b/>
      <i/>
      <sz val="10"/>
      <color indexed="12"/>
      <name val="Arial"/>
      <family val="2"/>
    </font>
    <font>
      <b/>
      <sz val="10"/>
      <color indexed="17"/>
      <name val="Arial"/>
      <family val="2"/>
    </font>
    <font>
      <sz val="10"/>
      <color indexed="22"/>
      <name val="Arial"/>
      <family val="2"/>
    </font>
    <font>
      <b/>
      <sz val="12"/>
      <name val="Arial"/>
      <family val="2"/>
    </font>
    <font>
      <sz val="8"/>
      <color indexed="18"/>
      <name val="Arial"/>
      <family val="2"/>
    </font>
    <font>
      <sz val="3"/>
      <name val="Arial"/>
      <family val="2"/>
    </font>
    <font>
      <sz val="5"/>
      <name val="Arial"/>
      <family val="2"/>
    </font>
    <font>
      <b/>
      <i/>
      <sz val="10"/>
      <name val="Arial"/>
      <family val="2"/>
    </font>
    <font>
      <b/>
      <sz val="11"/>
      <name val="Arial"/>
      <family val="2"/>
    </font>
    <font>
      <sz val="8"/>
      <color indexed="10"/>
      <name val="Arial"/>
      <family val="2"/>
    </font>
    <font>
      <b/>
      <sz val="8"/>
      <name val="Tahoma"/>
      <family val="0"/>
    </font>
    <font>
      <sz val="9"/>
      <name val="Arial"/>
      <family val="2"/>
    </font>
    <font>
      <b/>
      <sz val="9"/>
      <name val="Arial"/>
      <family val="2"/>
    </font>
    <font>
      <b/>
      <sz val="10"/>
      <color indexed="48"/>
      <name val="Arial"/>
      <family val="2"/>
    </font>
    <font>
      <u val="single"/>
      <sz val="10"/>
      <color indexed="10"/>
      <name val="Arial"/>
      <family val="2"/>
    </font>
    <font>
      <b/>
      <sz val="14"/>
      <color indexed="10"/>
      <name val="Arial"/>
      <family val="2"/>
    </font>
    <font>
      <sz val="10"/>
      <color indexed="39"/>
      <name val="Arial"/>
      <family val="2"/>
    </font>
    <font>
      <sz val="10"/>
      <color indexed="56"/>
      <name val="Arial"/>
      <family val="2"/>
    </font>
    <font>
      <sz val="12"/>
      <name val="Arial"/>
      <family val="2"/>
    </font>
    <font>
      <b/>
      <sz val="12"/>
      <color indexed="10"/>
      <name val="Arial"/>
      <family val="2"/>
    </font>
    <font>
      <i/>
      <sz val="8"/>
      <name val="Arial"/>
      <family val="2"/>
    </font>
    <font>
      <sz val="12"/>
      <name val="Arial Black"/>
      <family val="2"/>
    </font>
    <font>
      <sz val="14"/>
      <name val="Futura XBlk BT"/>
      <family val="2"/>
    </font>
    <font>
      <sz val="11"/>
      <name val="Arial"/>
      <family val="2"/>
    </font>
    <font>
      <b/>
      <sz val="16"/>
      <color indexed="8"/>
      <name val="Times New Roman"/>
      <family val="1"/>
    </font>
    <font>
      <sz val="10"/>
      <name val="Arial Black"/>
      <family val="2"/>
    </font>
    <font>
      <sz val="10"/>
      <name val="Britannic Bold"/>
      <family val="2"/>
    </font>
    <font>
      <sz val="9"/>
      <color indexed="8"/>
      <name val="Britannic Bold"/>
      <family val="0"/>
    </font>
    <font>
      <sz val="10"/>
      <color indexed="8"/>
      <name val="Britannic Bold"/>
      <family val="2"/>
    </font>
    <font>
      <b/>
      <sz val="10"/>
      <color indexed="8"/>
      <name val="Arial"/>
      <family val="2"/>
    </font>
    <font>
      <sz val="10"/>
      <name val="Fixedsys"/>
      <family val="3"/>
    </font>
    <font>
      <sz val="8"/>
      <name val="Impact"/>
      <family val="2"/>
    </font>
    <font>
      <b/>
      <sz val="12"/>
      <color indexed="12"/>
      <name val="Arial"/>
      <family val="2"/>
    </font>
    <font>
      <sz val="5"/>
      <color indexed="10"/>
      <name val="Arial"/>
      <family val="2"/>
    </font>
    <font>
      <sz val="4"/>
      <color indexed="10"/>
      <name val="Arial"/>
      <family val="2"/>
    </font>
    <font>
      <i/>
      <sz val="8"/>
      <color indexed="12"/>
      <name val="Arial"/>
      <family val="2"/>
    </font>
    <font>
      <b/>
      <i/>
      <sz val="10"/>
      <color indexed="18"/>
      <name val="Arial"/>
      <family val="2"/>
    </font>
    <font>
      <sz val="10"/>
      <color indexed="16"/>
      <name val="Arial"/>
      <family val="2"/>
    </font>
    <font>
      <b/>
      <sz val="12"/>
      <name val="Arial Black"/>
      <family val="2"/>
    </font>
    <font>
      <sz val="8"/>
      <color indexed="17"/>
      <name val="Arial"/>
      <family val="2"/>
    </font>
    <font>
      <sz val="10"/>
      <color indexed="17"/>
      <name val="Arial"/>
      <family val="2"/>
    </font>
    <font>
      <sz val="6"/>
      <name val="Arial"/>
      <family val="2"/>
    </font>
    <font>
      <b/>
      <sz val="7"/>
      <color indexed="18"/>
      <name val="Arial"/>
      <family val="2"/>
    </font>
    <font>
      <sz val="10"/>
      <color indexed="18"/>
      <name val="Fixedsys"/>
      <family val="3"/>
    </font>
    <font>
      <b/>
      <i/>
      <sz val="10"/>
      <color indexed="37"/>
      <name val="Lucida Handwriting"/>
      <family val="4"/>
    </font>
    <font>
      <b/>
      <i/>
      <sz val="10"/>
      <name val="Century Gothic"/>
      <family val="2"/>
    </font>
    <font>
      <sz val="9"/>
      <color indexed="12"/>
      <name val="Arial"/>
      <family val="2"/>
    </font>
    <font>
      <b/>
      <sz val="9"/>
      <color indexed="12"/>
      <name val="Arial"/>
      <family val="2"/>
    </font>
    <font>
      <b/>
      <sz val="9"/>
      <color indexed="16"/>
      <name val="Arial"/>
      <family val="2"/>
    </font>
    <font>
      <b/>
      <sz val="9"/>
      <color indexed="18"/>
      <name val="Arial"/>
      <family val="2"/>
    </font>
    <font>
      <sz val="9"/>
      <color indexed="18"/>
      <name val="Arial"/>
      <family val="2"/>
    </font>
    <font>
      <b/>
      <sz val="9"/>
      <color indexed="10"/>
      <name val="Arial"/>
      <family val="2"/>
    </font>
    <font>
      <b/>
      <sz val="9"/>
      <color indexed="9"/>
      <name val="Arial"/>
      <family val="2"/>
    </font>
    <font>
      <b/>
      <i/>
      <sz val="8"/>
      <color indexed="18"/>
      <name val="Times New Roman"/>
      <family val="1"/>
    </font>
    <font>
      <sz val="7"/>
      <name val="Arial"/>
      <family val="2"/>
    </font>
    <font>
      <sz val="7"/>
      <color indexed="18"/>
      <name val="Arial"/>
      <family val="2"/>
    </font>
    <font>
      <b/>
      <sz val="9"/>
      <color indexed="10"/>
      <name val="Comic Sans MS"/>
      <family val="4"/>
    </font>
    <font>
      <b/>
      <sz val="10"/>
      <color indexed="22"/>
      <name val="Arial"/>
      <family val="2"/>
    </font>
    <font>
      <sz val="10"/>
      <name val="Book Antiqua"/>
      <family val="1"/>
    </font>
    <font>
      <b/>
      <sz val="10"/>
      <name val="News Gothic MT"/>
      <family val="2"/>
    </font>
    <font>
      <sz val="8"/>
      <name val="Lucida Handwriting"/>
      <family val="4"/>
    </font>
    <font>
      <sz val="8"/>
      <color indexed="10"/>
      <name val="Lucida Handwriting"/>
      <family val="4"/>
    </font>
    <font>
      <i/>
      <sz val="9"/>
      <color indexed="18"/>
      <name val="Arial"/>
      <family val="2"/>
    </font>
    <font>
      <b/>
      <sz val="7"/>
      <name val="Arial"/>
      <family val="2"/>
    </font>
    <font>
      <b/>
      <sz val="7"/>
      <color indexed="17"/>
      <name val="Arial"/>
      <family val="2"/>
    </font>
    <font>
      <u val="single"/>
      <sz val="8"/>
      <name val="Arial"/>
      <family val="2"/>
    </font>
    <font>
      <b/>
      <sz val="8"/>
      <color indexed="16"/>
      <name val="Arial"/>
      <family val="2"/>
    </font>
    <font>
      <b/>
      <u val="single"/>
      <sz val="10"/>
      <color indexed="18"/>
      <name val="Arial"/>
      <family val="2"/>
    </font>
    <font>
      <b/>
      <sz val="11"/>
      <name val="Century Gothic"/>
      <family val="2"/>
    </font>
    <font>
      <sz val="12"/>
      <color indexed="12"/>
      <name val="Arial"/>
      <family val="2"/>
    </font>
    <font>
      <b/>
      <sz val="14"/>
      <color indexed="12"/>
      <name val="Arial"/>
      <family val="2"/>
    </font>
    <font>
      <sz val="14"/>
      <color indexed="9"/>
      <name val="Arial"/>
      <family val="2"/>
    </font>
    <font>
      <b/>
      <sz val="12"/>
      <color indexed="12"/>
      <name val="Century Gothic"/>
      <family val="2"/>
    </font>
    <font>
      <b/>
      <i/>
      <sz val="10"/>
      <color indexed="16"/>
      <name val="Copperplate Gothic Bold"/>
      <family val="2"/>
    </font>
    <font>
      <sz val="10"/>
      <name val="Lucida Handwriting"/>
      <family val="4"/>
    </font>
    <font>
      <sz val="10"/>
      <color indexed="12"/>
      <name val="Lucida Handwriting"/>
      <family val="4"/>
    </font>
    <font>
      <b/>
      <sz val="10"/>
      <color indexed="12"/>
      <name val="Lucida Handwriting"/>
      <family val="4"/>
    </font>
    <font>
      <b/>
      <sz val="10"/>
      <color indexed="10"/>
      <name val="Times New Roman"/>
      <family val="1"/>
    </font>
    <font>
      <b/>
      <i/>
      <sz val="10"/>
      <color indexed="16"/>
      <name val="Arial"/>
      <family val="2"/>
    </font>
    <font>
      <b/>
      <i/>
      <sz val="10"/>
      <color indexed="17"/>
      <name val="Arial"/>
      <family val="2"/>
    </font>
    <font>
      <u val="single"/>
      <sz val="11"/>
      <name val="Arial"/>
      <family val="2"/>
    </font>
    <font>
      <b/>
      <u val="single"/>
      <sz val="11"/>
      <color indexed="16"/>
      <name val="Arial"/>
      <family val="2"/>
    </font>
    <font>
      <b/>
      <u val="single"/>
      <sz val="10"/>
      <color indexed="16"/>
      <name val="Arial"/>
      <family val="2"/>
    </font>
    <font>
      <b/>
      <u val="single"/>
      <sz val="10"/>
      <color indexed="12"/>
      <name val="Arial"/>
      <family val="2"/>
    </font>
    <font>
      <b/>
      <sz val="10"/>
      <name val="Symbol"/>
      <family val="1"/>
    </font>
    <font>
      <b/>
      <sz val="10"/>
      <color indexed="61"/>
      <name val="Arial"/>
      <family val="2"/>
    </font>
    <font>
      <sz val="10"/>
      <color indexed="61"/>
      <name val="Arial"/>
      <family val="2"/>
    </font>
    <font>
      <b/>
      <sz val="8"/>
      <name val="Symbol"/>
      <family val="1"/>
    </font>
    <font>
      <b/>
      <sz val="11"/>
      <name val="Symbol"/>
      <family val="1"/>
    </font>
    <font>
      <b/>
      <sz val="9"/>
      <name val="Times New Roman"/>
      <family val="1"/>
    </font>
    <font>
      <sz val="15.5"/>
      <name val="Arial"/>
      <family val="0"/>
    </font>
    <font>
      <b/>
      <sz val="8"/>
      <name val="Times New Roman"/>
      <family val="1"/>
    </font>
    <font>
      <b/>
      <sz val="11.25"/>
      <name val="Arial"/>
      <family val="2"/>
    </font>
    <font>
      <b/>
      <sz val="8.25"/>
      <name val="Times New Roman"/>
      <family val="1"/>
    </font>
    <font>
      <sz val="15.75"/>
      <name val="Arial"/>
      <family val="0"/>
    </font>
    <font>
      <sz val="10"/>
      <name val="Times New Roman"/>
      <family val="1"/>
    </font>
    <font>
      <sz val="7"/>
      <color indexed="17"/>
      <name val="Arial"/>
      <family val="2"/>
    </font>
    <font>
      <sz val="8"/>
      <name val="Times New Roman"/>
      <family val="1"/>
    </font>
    <font>
      <sz val="8"/>
      <name val="Bookshelf Symbol 1"/>
      <family val="2"/>
    </font>
    <font>
      <i/>
      <sz val="10"/>
      <name val="Times New Roman"/>
      <family val="1"/>
    </font>
    <font>
      <sz val="11"/>
      <name val="Symbol"/>
      <family val="1"/>
    </font>
    <font>
      <sz val="11"/>
      <name val="Times New Roman"/>
      <family val="1"/>
    </font>
    <font>
      <b/>
      <sz val="5.75"/>
      <name val="Times New Roman"/>
      <family val="1"/>
    </font>
    <font>
      <b/>
      <sz val="11"/>
      <name val="Times New Roman"/>
      <family val="1"/>
    </font>
    <font>
      <b/>
      <sz val="11"/>
      <name val="Lucida Sans Unicode"/>
      <family val="2"/>
    </font>
    <font>
      <sz val="9"/>
      <name val="Tempus Sans ITC"/>
      <family val="5"/>
    </font>
    <font>
      <sz val="10"/>
      <name val="Tempus Sans ITC"/>
      <family val="5"/>
    </font>
    <font>
      <b/>
      <sz val="10"/>
      <color indexed="16"/>
      <name val="Times New Roman"/>
      <family val="1"/>
    </font>
    <font>
      <b/>
      <sz val="10"/>
      <name val="Century Gothic"/>
      <family val="2"/>
    </font>
    <font>
      <b/>
      <sz val="12"/>
      <name val="Century Gothic"/>
      <family val="2"/>
    </font>
    <font>
      <b/>
      <sz val="9"/>
      <color indexed="10"/>
      <name val="Times New Roman"/>
      <family val="1"/>
    </font>
    <font>
      <b/>
      <sz val="10"/>
      <color indexed="9"/>
      <name val="Arial"/>
      <family val="2"/>
    </font>
    <font>
      <i/>
      <sz val="7"/>
      <color indexed="12"/>
      <name val="Arial"/>
      <family val="2"/>
    </font>
    <font>
      <sz val="7"/>
      <color indexed="12"/>
      <name val="Arial"/>
      <family val="2"/>
    </font>
    <font>
      <b/>
      <sz val="10"/>
      <name val="Lucida Handwriting"/>
      <family val="4"/>
    </font>
    <font>
      <b/>
      <sz val="7"/>
      <color indexed="9"/>
      <name val="Arial"/>
      <family val="2"/>
    </font>
    <font>
      <b/>
      <i/>
      <sz val="10"/>
      <color indexed="16"/>
      <name val="Lucida Handwriting"/>
      <family val="4"/>
    </font>
    <font>
      <b/>
      <sz val="10"/>
      <name val="Comic Sans MS"/>
      <family val="4"/>
    </font>
    <font>
      <b/>
      <u val="single"/>
      <sz val="8"/>
      <color indexed="60"/>
      <name val="Georgia"/>
      <family val="1"/>
    </font>
    <font>
      <sz val="8"/>
      <color indexed="8"/>
      <name val="Arial"/>
      <family val="2"/>
    </font>
    <font>
      <sz val="8"/>
      <name val="Tahoma"/>
      <family val="0"/>
    </font>
    <font>
      <sz val="8"/>
      <color indexed="10"/>
      <name val="Tahoma"/>
      <family val="2"/>
    </font>
    <font>
      <b/>
      <sz val="8"/>
      <color indexed="12"/>
      <name val="Arial"/>
      <family val="2"/>
    </font>
    <font>
      <sz val="8"/>
      <color indexed="12"/>
      <name val="Tahoma"/>
      <family val="2"/>
    </font>
    <font>
      <sz val="8"/>
      <color indexed="16"/>
      <name val="Tahoma"/>
      <family val="2"/>
    </font>
    <font>
      <b/>
      <sz val="6"/>
      <color indexed="10"/>
      <name val="Arial"/>
      <family val="2"/>
    </font>
    <font>
      <b/>
      <u val="single"/>
      <sz val="10"/>
      <color indexed="10"/>
      <name val="Arial"/>
      <family val="2"/>
    </font>
    <font>
      <b/>
      <sz val="10"/>
      <color indexed="10"/>
      <name val="Lucida Handwriting"/>
      <family val="4"/>
    </font>
    <font>
      <sz val="8"/>
      <color indexed="12"/>
      <name val="Times New Roman"/>
      <family val="1"/>
    </font>
    <font>
      <b/>
      <sz val="10"/>
      <color indexed="62"/>
      <name val="Arial"/>
      <family val="2"/>
    </font>
    <font>
      <sz val="9"/>
      <color indexed="10"/>
      <name val="Arial"/>
      <family val="2"/>
    </font>
    <font>
      <b/>
      <sz val="10"/>
      <color indexed="53"/>
      <name val="Arial"/>
      <family val="2"/>
    </font>
    <font>
      <b/>
      <sz val="10"/>
      <color indexed="15"/>
      <name val="Arial"/>
      <family val="2"/>
    </font>
    <font>
      <sz val="10"/>
      <color indexed="12"/>
      <name val="Comic Sans MS"/>
      <family val="4"/>
    </font>
    <font>
      <b/>
      <sz val="10"/>
      <color indexed="13"/>
      <name val="Arial"/>
      <family val="2"/>
    </font>
    <font>
      <sz val="9"/>
      <name val="Times New Roman"/>
      <family val="1"/>
    </font>
    <font>
      <b/>
      <sz val="10"/>
      <color indexed="21"/>
      <name val="Arial"/>
      <family val="2"/>
    </font>
    <font>
      <sz val="10"/>
      <name val="Comic Sans MS"/>
      <family val="4"/>
    </font>
    <font>
      <b/>
      <sz val="10"/>
      <color indexed="57"/>
      <name val="Arial"/>
      <family val="2"/>
    </font>
    <font>
      <b/>
      <sz val="11"/>
      <color indexed="13"/>
      <name val="Lucida Sans Unicode"/>
      <family val="2"/>
    </font>
    <font>
      <b/>
      <sz val="10"/>
      <color indexed="56"/>
      <name val="Arial"/>
      <family val="2"/>
    </font>
    <font>
      <b/>
      <sz val="11"/>
      <color indexed="56"/>
      <name val="Arial"/>
      <family val="2"/>
    </font>
    <font>
      <b/>
      <sz val="8"/>
      <color indexed="56"/>
      <name val="Arial"/>
      <family val="2"/>
    </font>
    <font>
      <b/>
      <sz val="9"/>
      <color indexed="13"/>
      <name val="Times New Roman"/>
      <family val="1"/>
    </font>
    <font>
      <b/>
      <sz val="7"/>
      <color indexed="15"/>
      <name val="Arial"/>
      <family val="2"/>
    </font>
    <font>
      <b/>
      <sz val="11"/>
      <color indexed="18"/>
      <name val="Seagull Hv BT"/>
      <family val="0"/>
    </font>
    <font>
      <b/>
      <sz val="11"/>
      <color indexed="10"/>
      <name val="Lucida Handwriting"/>
      <family val="4"/>
    </font>
    <font>
      <b/>
      <sz val="8"/>
      <color indexed="17"/>
      <name val="Arial"/>
      <family val="2"/>
    </font>
    <font>
      <b/>
      <sz val="8"/>
      <color indexed="20"/>
      <name val="Arial"/>
      <family val="2"/>
    </font>
    <font>
      <b/>
      <sz val="8"/>
      <color indexed="54"/>
      <name val="Arial"/>
      <family val="2"/>
    </font>
    <font>
      <b/>
      <sz val="8"/>
      <color indexed="62"/>
      <name val="Arial"/>
      <family val="2"/>
    </font>
    <font>
      <b/>
      <sz val="9"/>
      <color indexed="57"/>
      <name val="Arial"/>
      <family val="2"/>
    </font>
    <font>
      <b/>
      <u val="single"/>
      <sz val="10"/>
      <color indexed="56"/>
      <name val="Arial"/>
      <family val="2"/>
    </font>
    <font>
      <b/>
      <sz val="10"/>
      <color indexed="60"/>
      <name val="Arial"/>
      <family val="2"/>
    </font>
    <font>
      <sz val="8"/>
      <color indexed="56"/>
      <name val="Times New Roman"/>
      <family val="1"/>
    </font>
    <font>
      <b/>
      <u val="single"/>
      <sz val="8"/>
      <color indexed="56"/>
      <name val="Arial"/>
      <family val="2"/>
    </font>
    <font>
      <b/>
      <u val="single"/>
      <sz val="9"/>
      <color indexed="10"/>
      <name val="Arial"/>
      <family val="2"/>
    </font>
    <font>
      <b/>
      <sz val="10"/>
      <color indexed="11"/>
      <name val="Arial"/>
      <family val="2"/>
    </font>
    <font>
      <b/>
      <sz val="10"/>
      <color indexed="58"/>
      <name val="Arial"/>
      <family val="2"/>
    </font>
    <font>
      <b/>
      <sz val="8"/>
      <color indexed="10"/>
      <name val="Arial"/>
      <family val="2"/>
    </font>
    <font>
      <b/>
      <sz val="8"/>
      <color indexed="53"/>
      <name val="Arial"/>
      <family val="2"/>
    </font>
    <font>
      <b/>
      <sz val="8"/>
      <color indexed="18"/>
      <name val="Arial"/>
      <family val="2"/>
    </font>
    <font>
      <b/>
      <sz val="8"/>
      <color indexed="23"/>
      <name val="Arial"/>
      <family val="2"/>
    </font>
    <font>
      <b/>
      <sz val="9"/>
      <color indexed="10"/>
      <name val="Tempus Sans ITC"/>
      <family val="5"/>
    </font>
    <font>
      <u val="single"/>
      <sz val="8"/>
      <color indexed="12"/>
      <name val="Arial"/>
      <family val="2"/>
    </font>
    <font>
      <b/>
      <u val="single"/>
      <sz val="14"/>
      <color indexed="10"/>
      <name val="Arial"/>
      <family val="2"/>
    </font>
    <font>
      <b/>
      <sz val="18"/>
      <color indexed="10"/>
      <name val="Arial"/>
      <family val="2"/>
    </font>
    <font>
      <b/>
      <sz val="14"/>
      <color indexed="16"/>
      <name val="Arial"/>
      <family val="2"/>
    </font>
  </fonts>
  <fills count="1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11"/>
        <bgColor indexed="64"/>
      </patternFill>
    </fill>
    <fill>
      <patternFill patternType="solid">
        <fgColor indexed="12"/>
        <bgColor indexed="64"/>
      </patternFill>
    </fill>
    <fill>
      <patternFill patternType="solid">
        <fgColor indexed="42"/>
        <bgColor indexed="64"/>
      </patternFill>
    </fill>
    <fill>
      <patternFill patternType="solid">
        <fgColor indexed="10"/>
        <bgColor indexed="64"/>
      </patternFill>
    </fill>
    <fill>
      <patternFill patternType="solid">
        <fgColor indexed="23"/>
        <bgColor indexed="64"/>
      </patternFill>
    </fill>
    <fill>
      <patternFill patternType="solid">
        <fgColor indexed="21"/>
        <bgColor indexed="64"/>
      </patternFill>
    </fill>
    <fill>
      <patternFill patternType="solid">
        <fgColor indexed="44"/>
        <bgColor indexed="64"/>
      </patternFill>
    </fill>
    <fill>
      <patternFill patternType="solid">
        <fgColor indexed="47"/>
        <bgColor indexed="64"/>
      </patternFill>
    </fill>
  </fills>
  <borders count="161">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color indexed="32"/>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medium"/>
      <top style="medium"/>
      <bottom style="medium"/>
    </border>
    <border>
      <left>
        <color indexed="63"/>
      </left>
      <right>
        <color indexed="63"/>
      </right>
      <top style="double"/>
      <bottom>
        <color indexed="63"/>
      </bottom>
    </border>
    <border>
      <left style="thin"/>
      <right style="thin"/>
      <top style="double"/>
      <bottom>
        <color indexed="63"/>
      </bottom>
    </border>
    <border>
      <left style="thin"/>
      <right style="medium"/>
      <top style="thin"/>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mediumDashed">
        <color indexed="10"/>
      </right>
      <top style="medium"/>
      <bottom style="dotted">
        <color indexed="10"/>
      </bottom>
    </border>
    <border>
      <left style="medium"/>
      <right>
        <color indexed="63"/>
      </right>
      <top style="medium"/>
      <bottom>
        <color indexed="63"/>
      </bottom>
    </border>
    <border>
      <left style="medium"/>
      <right>
        <color indexed="63"/>
      </right>
      <top>
        <color indexed="63"/>
      </top>
      <bottom style="medium"/>
    </border>
    <border>
      <left>
        <color indexed="63"/>
      </left>
      <right style="mediumDashed">
        <color indexed="10"/>
      </right>
      <top>
        <color indexed="63"/>
      </top>
      <bottom>
        <color indexed="63"/>
      </bottom>
    </border>
    <border>
      <left style="thin">
        <color indexed="23"/>
      </left>
      <right style="thin">
        <color indexed="23"/>
      </right>
      <top style="thin">
        <color indexed="23"/>
      </top>
      <bottom style="thin">
        <color indexed="2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style="thin"/>
      <top style="thin"/>
      <bottom style="thin"/>
    </border>
    <border>
      <left>
        <color indexed="63"/>
      </left>
      <right style="thick">
        <color indexed="10"/>
      </right>
      <top>
        <color indexed="63"/>
      </top>
      <bottom>
        <color indexed="63"/>
      </bottom>
    </border>
    <border>
      <left style="thick">
        <color indexed="10"/>
      </left>
      <right>
        <color indexed="63"/>
      </right>
      <top>
        <color indexed="63"/>
      </top>
      <bottom>
        <color indexed="63"/>
      </bottom>
    </border>
    <border>
      <left>
        <color indexed="63"/>
      </left>
      <right style="thick">
        <color indexed="10"/>
      </right>
      <top>
        <color indexed="63"/>
      </top>
      <bottom style="medium"/>
    </border>
    <border>
      <left style="thick">
        <color indexed="10"/>
      </left>
      <right>
        <color indexed="63"/>
      </right>
      <top style="medium"/>
      <bottom>
        <color indexed="63"/>
      </bottom>
    </border>
    <border>
      <left style="thick">
        <color indexed="10"/>
      </left>
      <right>
        <color indexed="63"/>
      </right>
      <top>
        <color indexed="63"/>
      </top>
      <bottom style="thick">
        <color indexed="10"/>
      </bottom>
    </border>
    <border>
      <left style="thin"/>
      <right style="thin"/>
      <top style="thin"/>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color indexed="10"/>
      </left>
      <right>
        <color indexed="63"/>
      </right>
      <top style="thick">
        <color indexed="10"/>
      </top>
      <bottom>
        <color indexed="63"/>
      </bottom>
    </border>
    <border>
      <left style="mediumDashed"/>
      <right style="mediumDashed"/>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style="mediumDashed">
        <color indexed="10"/>
      </right>
      <top>
        <color indexed="63"/>
      </top>
      <bottom style="medium"/>
    </border>
    <border>
      <left style="mediumDashed"/>
      <right style="mediumDashed"/>
      <top>
        <color indexed="63"/>
      </top>
      <bottom style="medium"/>
    </border>
    <border>
      <left>
        <color indexed="63"/>
      </left>
      <right style="thick"/>
      <top>
        <color indexed="63"/>
      </top>
      <bottom style="medium"/>
    </border>
    <border>
      <left style="thin"/>
      <right style="thin"/>
      <top style="thick">
        <color indexed="10"/>
      </top>
      <bottom style="thin"/>
    </border>
    <border>
      <left style="thick">
        <color indexed="10"/>
      </left>
      <right style="thin"/>
      <top style="thick">
        <color indexed="10"/>
      </top>
      <bottom style="thin"/>
    </border>
    <border>
      <left style="thin"/>
      <right>
        <color indexed="63"/>
      </right>
      <top style="thick">
        <color indexed="10"/>
      </top>
      <bottom style="thin"/>
    </border>
    <border>
      <left style="thin"/>
      <right>
        <color indexed="63"/>
      </right>
      <top style="thin"/>
      <bottom style="thick">
        <color indexed="10"/>
      </bottom>
    </border>
    <border>
      <left style="thin"/>
      <right style="thin"/>
      <top style="thin"/>
      <bottom>
        <color indexed="63"/>
      </bottom>
    </border>
    <border>
      <left style="thick">
        <color indexed="39"/>
      </left>
      <right>
        <color indexed="63"/>
      </right>
      <top style="thick">
        <color indexed="39"/>
      </top>
      <bottom>
        <color indexed="63"/>
      </bottom>
    </border>
    <border>
      <left>
        <color indexed="63"/>
      </left>
      <right>
        <color indexed="63"/>
      </right>
      <top style="thick">
        <color indexed="39"/>
      </top>
      <bottom>
        <color indexed="63"/>
      </bottom>
    </border>
    <border>
      <left>
        <color indexed="63"/>
      </left>
      <right>
        <color indexed="63"/>
      </right>
      <top style="thick">
        <color indexed="39"/>
      </top>
      <bottom style="medium"/>
    </border>
    <border>
      <left>
        <color indexed="63"/>
      </left>
      <right style="thick">
        <color indexed="39"/>
      </right>
      <top style="thick">
        <color indexed="39"/>
      </top>
      <bottom>
        <color indexed="63"/>
      </bottom>
    </border>
    <border>
      <left>
        <color indexed="63"/>
      </left>
      <right style="thick">
        <color indexed="39"/>
      </right>
      <top>
        <color indexed="63"/>
      </top>
      <bottom>
        <color indexed="63"/>
      </bottom>
    </border>
    <border>
      <left style="thick">
        <color indexed="39"/>
      </left>
      <right>
        <color indexed="63"/>
      </right>
      <top>
        <color indexed="63"/>
      </top>
      <bottom>
        <color indexed="63"/>
      </bottom>
    </border>
    <border>
      <left>
        <color indexed="63"/>
      </left>
      <right style="thick">
        <color indexed="39"/>
      </right>
      <top>
        <color indexed="63"/>
      </top>
      <bottom style="medium"/>
    </border>
    <border>
      <left>
        <color indexed="63"/>
      </left>
      <right>
        <color indexed="63"/>
      </right>
      <top>
        <color indexed="63"/>
      </top>
      <bottom style="thick">
        <color indexed="39"/>
      </bottom>
    </border>
    <border>
      <left>
        <color indexed="63"/>
      </left>
      <right style="thick">
        <color indexed="39"/>
      </right>
      <top>
        <color indexed="63"/>
      </top>
      <bottom style="thick">
        <color indexed="39"/>
      </bottom>
    </border>
    <border>
      <left style="thick">
        <color indexed="39"/>
      </left>
      <right style="thin"/>
      <top style="thin"/>
      <bottom style="thin"/>
    </border>
    <border>
      <left style="thick">
        <color indexed="39"/>
      </left>
      <right>
        <color indexed="63"/>
      </right>
      <top>
        <color indexed="63"/>
      </top>
      <bottom style="thick">
        <color indexed="39"/>
      </bottom>
    </border>
    <border>
      <left style="medium"/>
      <right style="medium"/>
      <top style="medium"/>
      <bottom style="thin"/>
    </border>
    <border>
      <left style="medium"/>
      <right style="medium"/>
      <top style="thin"/>
      <bottom style="thin"/>
    </border>
    <border>
      <left style="medium"/>
      <right style="medium"/>
      <top style="thin"/>
      <bottom style="medium"/>
    </border>
    <border>
      <left style="thick">
        <color indexed="32"/>
      </left>
      <right style="thin"/>
      <top style="thin"/>
      <bottom style="thin"/>
    </border>
    <border>
      <left style="thin"/>
      <right style="thick">
        <color indexed="32"/>
      </right>
      <top style="thin"/>
      <bottom style="thin"/>
    </border>
    <border>
      <left style="thin"/>
      <right style="thick">
        <color indexed="32"/>
      </right>
      <top style="thin"/>
      <bottom style="medium"/>
    </border>
    <border>
      <left style="thin"/>
      <right style="thick">
        <color indexed="32"/>
      </right>
      <top style="medium"/>
      <bottom style="thin"/>
    </border>
    <border>
      <left style="thin"/>
      <right style="thick">
        <color indexed="32"/>
      </right>
      <top>
        <color indexed="63"/>
      </top>
      <bottom style="medium"/>
    </border>
    <border>
      <left style="thick">
        <color indexed="32"/>
      </left>
      <right style="thin"/>
      <top style="thick">
        <color indexed="32"/>
      </top>
      <bottom style="thin"/>
    </border>
    <border>
      <left style="thin"/>
      <right style="thin"/>
      <top style="thick">
        <color indexed="32"/>
      </top>
      <bottom style="thin"/>
    </border>
    <border>
      <left style="thin"/>
      <right style="thick">
        <color indexed="32"/>
      </right>
      <top style="thick">
        <color indexed="32"/>
      </top>
      <bottom style="thin"/>
    </border>
    <border>
      <left style="thick">
        <color indexed="32"/>
      </left>
      <right style="thin"/>
      <top style="thin"/>
      <bottom style="medium"/>
    </border>
    <border>
      <left style="thin"/>
      <right style="thin"/>
      <top>
        <color indexed="63"/>
      </top>
      <bottom style="medium"/>
    </border>
    <border>
      <left>
        <color indexed="63"/>
      </left>
      <right style="medium"/>
      <top style="medium"/>
      <bottom>
        <color indexed="63"/>
      </bottom>
    </border>
    <border>
      <left>
        <color indexed="63"/>
      </left>
      <right style="thin"/>
      <top style="thin"/>
      <bottom style="thin"/>
    </border>
    <border>
      <left style="thin"/>
      <right style="dashed">
        <color indexed="10"/>
      </right>
      <top style="thin"/>
      <bottom style="thin"/>
    </border>
    <border>
      <left>
        <color indexed="63"/>
      </left>
      <right style="dashed">
        <color indexed="10"/>
      </right>
      <top>
        <color indexed="63"/>
      </top>
      <bottom>
        <color indexed="63"/>
      </bottom>
    </border>
    <border>
      <left>
        <color indexed="63"/>
      </left>
      <right style="dashed">
        <color indexed="10"/>
      </right>
      <top>
        <color indexed="63"/>
      </top>
      <bottom style="medium"/>
    </border>
    <border>
      <left style="dashed">
        <color indexed="10"/>
      </left>
      <right>
        <color indexed="63"/>
      </right>
      <top>
        <color indexed="63"/>
      </top>
      <bottom>
        <color indexed="63"/>
      </bottom>
    </border>
    <border>
      <left style="dashed">
        <color indexed="10"/>
      </left>
      <right style="thin"/>
      <top style="thin"/>
      <bottom style="thin"/>
    </border>
    <border>
      <left style="dashed">
        <color indexed="10"/>
      </left>
      <right>
        <color indexed="63"/>
      </right>
      <top>
        <color indexed="63"/>
      </top>
      <bottom style="medium"/>
    </border>
    <border diagonalDown="1">
      <left>
        <color indexed="63"/>
      </left>
      <right>
        <color indexed="63"/>
      </right>
      <top>
        <color indexed="63"/>
      </top>
      <bottom>
        <color indexed="63"/>
      </bottom>
      <diagonal style="medium"/>
    </border>
    <border>
      <left style="thin"/>
      <right style="thin"/>
      <top style="medium"/>
      <bottom style="dashed"/>
    </border>
    <border>
      <left style="thin"/>
      <right style="thin"/>
      <top style="dashed"/>
      <bottom style="medium"/>
    </border>
    <border>
      <left style="dashed">
        <color indexed="10"/>
      </left>
      <right>
        <color indexed="63"/>
      </right>
      <top style="dashed">
        <color indexed="10"/>
      </top>
      <bottom>
        <color indexed="63"/>
      </bottom>
    </border>
    <border>
      <left>
        <color indexed="63"/>
      </left>
      <right>
        <color indexed="63"/>
      </right>
      <top style="dashed">
        <color indexed="10"/>
      </top>
      <bottom>
        <color indexed="63"/>
      </bottom>
    </border>
    <border>
      <left style="dashDot">
        <color indexed="10"/>
      </left>
      <right>
        <color indexed="63"/>
      </right>
      <top>
        <color indexed="63"/>
      </top>
      <bottom>
        <color indexed="63"/>
      </bottom>
    </border>
    <border>
      <left style="dashDot">
        <color indexed="10"/>
      </left>
      <right style="dashed">
        <color indexed="10"/>
      </right>
      <top style="dashed">
        <color indexed="10"/>
      </top>
      <bottom>
        <color indexed="63"/>
      </bottom>
    </border>
    <border>
      <left style="dashDot">
        <color indexed="10"/>
      </left>
      <right style="dashed">
        <color indexed="10"/>
      </right>
      <top>
        <color indexed="63"/>
      </top>
      <bottom>
        <color indexed="63"/>
      </bottom>
    </border>
    <border>
      <left style="dashDot">
        <color indexed="10"/>
      </left>
      <right>
        <color indexed="63"/>
      </right>
      <top style="medium"/>
      <bottom>
        <color indexed="63"/>
      </bottom>
    </border>
    <border diagonalUp="1">
      <left>
        <color indexed="63"/>
      </left>
      <right>
        <color indexed="63"/>
      </right>
      <top>
        <color indexed="63"/>
      </top>
      <bottom>
        <color indexed="63"/>
      </bottom>
      <diagonal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thin"/>
      <top>
        <color indexed="63"/>
      </top>
      <bottom style="medium"/>
    </border>
    <border>
      <left style="thin"/>
      <right>
        <color indexed="63"/>
      </right>
      <top>
        <color indexed="63"/>
      </top>
      <bottom style="medium"/>
    </border>
    <border>
      <left style="dashDot">
        <color indexed="10"/>
      </left>
      <right style="thin"/>
      <top>
        <color indexed="63"/>
      </top>
      <bottom style="medium"/>
    </border>
    <border>
      <left style="dashDot">
        <color indexed="10"/>
      </left>
      <right>
        <color indexed="63"/>
      </right>
      <top style="dashed">
        <color indexed="10"/>
      </top>
      <bottom>
        <color indexed="63"/>
      </bottom>
    </border>
    <border>
      <left>
        <color indexed="63"/>
      </left>
      <right style="dashed">
        <color indexed="10"/>
      </right>
      <top style="dashed">
        <color indexed="10"/>
      </top>
      <bottom>
        <color indexed="63"/>
      </bottom>
    </border>
    <border>
      <left style="thick">
        <color indexed="32"/>
      </left>
      <right style="thin"/>
      <top style="medium"/>
      <bottom style="thin"/>
    </border>
    <border>
      <left style="medium">
        <color indexed="16"/>
      </left>
      <right style="medium">
        <color indexed="16"/>
      </right>
      <top style="medium">
        <color indexed="16"/>
      </top>
      <bottom style="medium">
        <color indexed="16"/>
      </bottom>
    </border>
    <border>
      <left style="medium">
        <color indexed="10"/>
      </left>
      <right style="medium">
        <color indexed="10"/>
      </right>
      <top style="medium">
        <color indexed="10"/>
      </top>
      <bottom style="medium">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thick">
        <color indexed="10"/>
      </left>
      <right>
        <color indexed="63"/>
      </right>
      <top>
        <color indexed="63"/>
      </top>
      <bottom style="medium"/>
    </border>
    <border>
      <left>
        <color indexed="63"/>
      </left>
      <right>
        <color indexed="63"/>
      </right>
      <top>
        <color indexed="63"/>
      </top>
      <bottom style="dashed">
        <color indexed="10"/>
      </bottom>
    </border>
    <border>
      <left style="thin"/>
      <right style="dashed"/>
      <top>
        <color indexed="63"/>
      </top>
      <bottom>
        <color indexed="63"/>
      </bottom>
    </border>
    <border diagonalDown="1">
      <left style="thin"/>
      <right style="dashed"/>
      <top>
        <color indexed="63"/>
      </top>
      <bottom>
        <color indexed="63"/>
      </bottom>
      <diagonal style="thin"/>
    </border>
    <border diagonalUp="1">
      <left>
        <color indexed="63"/>
      </left>
      <right>
        <color indexed="63"/>
      </right>
      <top>
        <color indexed="63"/>
      </top>
      <bottom>
        <color indexed="63"/>
      </bottom>
      <diagonal style="dashed"/>
    </border>
    <border>
      <left style="dashed"/>
      <right style="thin"/>
      <top>
        <color indexed="63"/>
      </top>
      <bottom>
        <color indexed="63"/>
      </bottom>
    </border>
    <border diagonalUp="1">
      <left style="dashed"/>
      <right style="thin"/>
      <top>
        <color indexed="63"/>
      </top>
      <bottom>
        <color indexed="63"/>
      </bottom>
      <diagonal style="thin"/>
    </border>
    <border diagonalDown="1">
      <left>
        <color indexed="63"/>
      </left>
      <right>
        <color indexed="63"/>
      </right>
      <top>
        <color indexed="63"/>
      </top>
      <bottom>
        <color indexed="63"/>
      </bottom>
      <diagonal style="dashed"/>
    </border>
    <border>
      <left style="thin"/>
      <right style="mediumDashed">
        <color indexed="10"/>
      </right>
      <top style="thin"/>
      <bottom>
        <color indexed="63"/>
      </bottom>
    </border>
    <border>
      <left style="thin"/>
      <right style="mediumDashed">
        <color indexed="10"/>
      </right>
      <top>
        <color indexed="63"/>
      </top>
      <bottom style="thin"/>
    </border>
    <border>
      <left style="thin"/>
      <right>
        <color indexed="63"/>
      </right>
      <top style="dashed">
        <color indexed="39"/>
      </top>
      <bottom style="dashDot">
        <color indexed="39"/>
      </bottom>
    </border>
    <border>
      <left>
        <color indexed="63"/>
      </left>
      <right>
        <color indexed="63"/>
      </right>
      <top style="dashed">
        <color indexed="39"/>
      </top>
      <bottom style="dashDot">
        <color indexed="39"/>
      </bottom>
    </border>
    <border>
      <left>
        <color indexed="63"/>
      </left>
      <right style="mediumDashed">
        <color indexed="10"/>
      </right>
      <top style="dashed">
        <color indexed="39"/>
      </top>
      <bottom style="dashDot">
        <color indexed="39"/>
      </bottom>
    </border>
    <border>
      <left>
        <color indexed="63"/>
      </left>
      <right style="thin"/>
      <top style="dashed">
        <color indexed="39"/>
      </top>
      <bottom style="dashDot">
        <color indexed="39"/>
      </bottom>
    </border>
    <border>
      <left>
        <color indexed="63"/>
      </left>
      <right style="thin"/>
      <top style="dashed">
        <color indexed="39"/>
      </top>
      <bottom>
        <color indexed="63"/>
      </bottom>
    </border>
    <border>
      <left style="dashDot">
        <color indexed="39"/>
      </left>
      <right>
        <color indexed="63"/>
      </right>
      <top>
        <color indexed="63"/>
      </top>
      <bottom>
        <color indexed="63"/>
      </bottom>
    </border>
    <border>
      <left style="dashDot">
        <color indexed="39"/>
      </left>
      <right>
        <color indexed="63"/>
      </right>
      <top>
        <color indexed="63"/>
      </top>
      <bottom style="dashed">
        <color indexed="39"/>
      </bottom>
    </border>
    <border>
      <left>
        <color indexed="63"/>
      </left>
      <right style="dashDot">
        <color indexed="39"/>
      </right>
      <top>
        <color indexed="63"/>
      </top>
      <bottom>
        <color indexed="63"/>
      </bottom>
    </border>
    <border>
      <left>
        <color indexed="63"/>
      </left>
      <right style="dashDot">
        <color indexed="39"/>
      </right>
      <top>
        <color indexed="63"/>
      </top>
      <bottom style="dashed">
        <color indexed="39"/>
      </bottom>
    </border>
    <border>
      <left style="dashed">
        <color indexed="39"/>
      </left>
      <right style="thin"/>
      <top style="thin"/>
      <bottom>
        <color indexed="63"/>
      </bottom>
    </border>
    <border>
      <left style="dashed">
        <color indexed="39"/>
      </left>
      <right style="thin"/>
      <top>
        <color indexed="63"/>
      </top>
      <bottom style="thin"/>
    </border>
    <border>
      <left style="dashed">
        <color indexed="39"/>
      </left>
      <right>
        <color indexed="63"/>
      </right>
      <top>
        <color indexed="63"/>
      </top>
      <bottom>
        <color indexed="63"/>
      </bottom>
    </border>
    <border>
      <left>
        <color indexed="63"/>
      </left>
      <right style="dashed">
        <color indexed="39"/>
      </right>
      <top style="thin"/>
      <bottom>
        <color indexed="63"/>
      </bottom>
    </border>
    <border>
      <left style="thin"/>
      <right style="dashed">
        <color indexed="39"/>
      </right>
      <top>
        <color indexed="63"/>
      </top>
      <bottom style="thin"/>
    </border>
    <border>
      <left>
        <color indexed="63"/>
      </left>
      <right style="dashed">
        <color indexed="39"/>
      </right>
      <top>
        <color indexed="63"/>
      </top>
      <bottom>
        <color indexed="63"/>
      </bottom>
    </border>
    <border>
      <left style="dashed">
        <color indexed="39"/>
      </left>
      <right style="dashed">
        <color indexed="39"/>
      </right>
      <top style="thin"/>
      <bottom>
        <color indexed="63"/>
      </bottom>
    </border>
    <border>
      <left style="dashed">
        <color indexed="39"/>
      </left>
      <right style="dashed">
        <color indexed="39"/>
      </right>
      <top>
        <color indexed="63"/>
      </top>
      <bottom style="medium"/>
    </border>
    <border>
      <left style="thick">
        <color indexed="11"/>
      </left>
      <right style="thick">
        <color indexed="11"/>
      </right>
      <top style="thick">
        <color indexed="11"/>
      </top>
      <bottom style="thick">
        <color indexed="11"/>
      </bottom>
    </border>
    <border>
      <left style="thin"/>
      <right style="thick">
        <color indexed="32"/>
      </right>
      <top>
        <color indexed="63"/>
      </top>
      <bottom style="thin"/>
    </border>
    <border diagonalUp="1" diagonalDown="1">
      <left style="dotted">
        <color indexed="10"/>
      </left>
      <right>
        <color indexed="63"/>
      </right>
      <top style="dotted">
        <color indexed="10"/>
      </top>
      <bottom style="dotted">
        <color indexed="10"/>
      </bottom>
      <diagonal style="thick"/>
    </border>
    <border diagonalUp="1" diagonalDown="1">
      <left>
        <color indexed="63"/>
      </left>
      <right>
        <color indexed="63"/>
      </right>
      <top style="dotted">
        <color indexed="10"/>
      </top>
      <bottom style="dotted">
        <color indexed="10"/>
      </bottom>
      <diagonal style="thick"/>
    </border>
    <border diagonalUp="1" diagonalDown="1">
      <left>
        <color indexed="63"/>
      </left>
      <right style="dotted">
        <color indexed="10"/>
      </right>
      <top style="dotted">
        <color indexed="10"/>
      </top>
      <bottom style="dotted">
        <color indexed="10"/>
      </bottom>
      <diagonal style="thick"/>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color indexed="63"/>
      </bottom>
      <diagonal style="dashed"/>
    </border>
    <border>
      <left>
        <color indexed="63"/>
      </left>
      <right>
        <color indexed="63"/>
      </right>
      <top>
        <color indexed="63"/>
      </top>
      <bottom style="double"/>
    </border>
    <border diagonalUp="1">
      <left>
        <color indexed="63"/>
      </left>
      <right>
        <color indexed="63"/>
      </right>
      <top>
        <color indexed="63"/>
      </top>
      <bottom style="dashed">
        <color indexed="39"/>
      </bottom>
      <diagonal style="dashed"/>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4"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0" fontId="2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972">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xf>
    <xf numFmtId="0" fontId="0" fillId="0" borderId="1" xfId="0" applyBorder="1" applyAlignment="1">
      <alignment/>
    </xf>
    <xf numFmtId="0" fontId="0" fillId="0" borderId="1" xfId="0" applyBorder="1" applyAlignment="1">
      <alignment horizontal="center"/>
    </xf>
    <xf numFmtId="0" fontId="1" fillId="0" borderId="1" xfId="0" applyFont="1" applyBorder="1" applyAlignment="1">
      <alignment/>
    </xf>
    <xf numFmtId="0" fontId="1" fillId="0" borderId="1" xfId="0" applyFont="1" applyBorder="1" applyAlignment="1">
      <alignment horizontal="center"/>
    </xf>
    <xf numFmtId="0" fontId="0" fillId="0" borderId="2" xfId="0" applyBorder="1" applyAlignment="1">
      <alignment/>
    </xf>
    <xf numFmtId="0" fontId="0" fillId="0" borderId="2" xfId="0" applyBorder="1" applyAlignment="1">
      <alignment horizontal="center"/>
    </xf>
    <xf numFmtId="0" fontId="1" fillId="0" borderId="3" xfId="0" applyFont="1" applyBorder="1" applyAlignment="1">
      <alignment horizontal="center"/>
    </xf>
    <xf numFmtId="0" fontId="0" fillId="0" borderId="0" xfId="0" applyBorder="1" applyAlignment="1">
      <alignment horizontal="center"/>
    </xf>
    <xf numFmtId="0" fontId="3" fillId="0" borderId="0" xfId="0" applyFont="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4" fillId="0" borderId="4" xfId="0" applyFont="1" applyBorder="1" applyAlignment="1">
      <alignment/>
    </xf>
    <xf numFmtId="0" fontId="0" fillId="0" borderId="5" xfId="0" applyFont="1" applyBorder="1" applyAlignment="1">
      <alignment/>
    </xf>
    <xf numFmtId="0" fontId="5" fillId="0" borderId="5" xfId="0" applyFont="1" applyBorder="1" applyAlignment="1">
      <alignment/>
    </xf>
    <xf numFmtId="0" fontId="6" fillId="0" borderId="5" xfId="0" applyFont="1" applyBorder="1" applyAlignment="1">
      <alignment/>
    </xf>
    <xf numFmtId="0" fontId="0" fillId="0" borderId="5" xfId="0" applyBorder="1" applyAlignment="1">
      <alignment/>
    </xf>
    <xf numFmtId="0" fontId="4" fillId="0" borderId="5" xfId="0" applyFont="1" applyBorder="1" applyAlignment="1">
      <alignment/>
    </xf>
    <xf numFmtId="0" fontId="5" fillId="0" borderId="6" xfId="0" applyFont="1" applyBorder="1" applyAlignment="1">
      <alignment/>
    </xf>
    <xf numFmtId="0" fontId="0" fillId="2" borderId="1" xfId="0" applyFill="1" applyBorder="1" applyAlignment="1">
      <alignment/>
    </xf>
    <xf numFmtId="172" fontId="0" fillId="0" borderId="1" xfId="0" applyNumberFormat="1" applyBorder="1" applyAlignment="1">
      <alignment/>
    </xf>
    <xf numFmtId="0" fontId="8" fillId="0" borderId="0" xfId="0" applyFont="1" applyAlignment="1">
      <alignment/>
    </xf>
    <xf numFmtId="0" fontId="1" fillId="3" borderId="1" xfId="0" applyFont="1" applyFill="1" applyBorder="1" applyAlignment="1">
      <alignment/>
    </xf>
    <xf numFmtId="0" fontId="8" fillId="2" borderId="1" xfId="0" applyFont="1" applyFill="1" applyBorder="1" applyAlignment="1">
      <alignment/>
    </xf>
    <xf numFmtId="0" fontId="0" fillId="0" borderId="1" xfId="0" applyFill="1" applyBorder="1" applyAlignment="1">
      <alignment/>
    </xf>
    <xf numFmtId="171" fontId="1" fillId="3" borderId="1" xfId="32" applyFont="1" applyFill="1" applyBorder="1" applyAlignment="1">
      <alignment/>
    </xf>
    <xf numFmtId="171" fontId="8" fillId="3" borderId="1" xfId="0" applyNumberFormat="1" applyFont="1" applyFill="1" applyBorder="1" applyAlignment="1">
      <alignment/>
    </xf>
    <xf numFmtId="0" fontId="0" fillId="0" borderId="0" xfId="0" applyFont="1" applyFill="1" applyAlignment="1">
      <alignment/>
    </xf>
    <xf numFmtId="171" fontId="0" fillId="0" borderId="0" xfId="0" applyNumberFormat="1" applyFont="1" applyFill="1" applyAlignment="1">
      <alignment/>
    </xf>
    <xf numFmtId="171" fontId="1" fillId="0" borderId="1" xfId="0" applyNumberFormat="1" applyFont="1" applyBorder="1" applyAlignment="1">
      <alignment/>
    </xf>
    <xf numFmtId="171" fontId="0" fillId="0" borderId="1" xfId="0" applyNumberFormat="1" applyBorder="1" applyAlignment="1">
      <alignment/>
    </xf>
    <xf numFmtId="171" fontId="0" fillId="0" borderId="0" xfId="0" applyNumberFormat="1" applyAlignment="1">
      <alignment/>
    </xf>
    <xf numFmtId="171" fontId="0" fillId="0" borderId="0" xfId="0" applyNumberFormat="1" applyFill="1" applyAlignment="1">
      <alignment/>
    </xf>
    <xf numFmtId="0" fontId="5" fillId="0" borderId="0" xfId="0" applyFont="1" applyAlignment="1">
      <alignment/>
    </xf>
    <xf numFmtId="0" fontId="1"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7" xfId="0" applyFont="1" applyBorder="1" applyAlignment="1">
      <alignment horizontal="center"/>
    </xf>
    <xf numFmtId="0" fontId="1" fillId="0" borderId="7" xfId="0" applyFont="1" applyBorder="1" applyAlignment="1">
      <alignment/>
    </xf>
    <xf numFmtId="0" fontId="9" fillId="0" borderId="7" xfId="0" applyFont="1" applyBorder="1" applyAlignment="1">
      <alignment/>
    </xf>
    <xf numFmtId="0" fontId="1" fillId="0" borderId="8" xfId="0" applyFont="1" applyBorder="1" applyAlignment="1">
      <alignment horizontal="center"/>
    </xf>
    <xf numFmtId="0" fontId="0" fillId="0" borderId="8" xfId="0" applyBorder="1" applyAlignment="1">
      <alignment horizontal="center"/>
    </xf>
    <xf numFmtId="2" fontId="0" fillId="0" borderId="1" xfId="0" applyNumberFormat="1" applyBorder="1" applyAlignment="1">
      <alignment horizontal="center"/>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Alignment="1">
      <alignment/>
    </xf>
    <xf numFmtId="0" fontId="0" fillId="0" borderId="0" xfId="0" applyAlignment="1">
      <alignment horizontal="left"/>
    </xf>
    <xf numFmtId="0" fontId="13" fillId="0" borderId="0" xfId="0" applyFont="1" applyAlignment="1">
      <alignment horizontal="center"/>
    </xf>
    <xf numFmtId="0" fontId="14" fillId="0" borderId="0" xfId="0" applyFont="1" applyAlignment="1">
      <alignment/>
    </xf>
    <xf numFmtId="0" fontId="15" fillId="0" borderId="7" xfId="0" applyFont="1" applyBorder="1" applyAlignment="1">
      <alignment horizontal="center"/>
    </xf>
    <xf numFmtId="174" fontId="15" fillId="0" borderId="7" xfId="0" applyNumberFormat="1" applyFont="1" applyBorder="1" applyAlignment="1">
      <alignment horizontal="center"/>
    </xf>
    <xf numFmtId="175" fontId="0" fillId="0" borderId="1" xfId="0" applyNumberFormat="1" applyBorder="1" applyAlignment="1">
      <alignment/>
    </xf>
    <xf numFmtId="175" fontId="1" fillId="3" borderId="1" xfId="0" applyNumberFormat="1" applyFont="1" applyFill="1" applyBorder="1" applyAlignment="1">
      <alignment/>
    </xf>
    <xf numFmtId="0" fontId="0" fillId="0" borderId="0" xfId="0" applyAlignment="1">
      <alignment horizontal="right"/>
    </xf>
    <xf numFmtId="0" fontId="12" fillId="0" borderId="0" xfId="0" applyFont="1" applyAlignment="1">
      <alignment horizontal="center"/>
    </xf>
    <xf numFmtId="0" fontId="10" fillId="0" borderId="0" xfId="0" applyFont="1" applyAlignment="1">
      <alignment/>
    </xf>
    <xf numFmtId="0" fontId="1" fillId="4" borderId="2" xfId="0" applyFont="1" applyFill="1" applyBorder="1" applyAlignment="1">
      <alignment/>
    </xf>
    <xf numFmtId="0" fontId="1" fillId="0" borderId="1" xfId="0" applyFont="1" applyFill="1" applyBorder="1" applyAlignment="1">
      <alignment horizontal="center"/>
    </xf>
    <xf numFmtId="0" fontId="11" fillId="0" borderId="0" xfId="0" applyFont="1" applyAlignment="1">
      <alignment horizontal="center"/>
    </xf>
    <xf numFmtId="0" fontId="16" fillId="0" borderId="0" xfId="0" applyFont="1" applyAlignment="1">
      <alignment horizontal="center"/>
    </xf>
    <xf numFmtId="0" fontId="18" fillId="0" borderId="0" xfId="0" applyFont="1" applyAlignment="1">
      <alignment horizontal="center"/>
    </xf>
    <xf numFmtId="0" fontId="0" fillId="0" borderId="0" xfId="0" applyFont="1" applyAlignment="1">
      <alignment horizontal="right"/>
    </xf>
    <xf numFmtId="2" fontId="0" fillId="0" borderId="0" xfId="0" applyNumberFormat="1" applyAlignment="1">
      <alignment horizontal="center"/>
    </xf>
    <xf numFmtId="0" fontId="15" fillId="0" borderId="0" xfId="0" applyFont="1" applyAlignment="1">
      <alignment horizontal="right"/>
    </xf>
    <xf numFmtId="0" fontId="17" fillId="0" borderId="0" xfId="0" applyNumberFormat="1" applyFont="1" applyAlignment="1">
      <alignment/>
    </xf>
    <xf numFmtId="0" fontId="17" fillId="0" borderId="0" xfId="0" applyFont="1" applyAlignment="1">
      <alignment/>
    </xf>
    <xf numFmtId="0" fontId="18" fillId="0" borderId="0" xfId="0" applyFont="1" applyAlignment="1">
      <alignment/>
    </xf>
    <xf numFmtId="0" fontId="0" fillId="0" borderId="0" xfId="0" applyAlignment="1" applyProtection="1">
      <alignment/>
      <protection locked="0"/>
    </xf>
    <xf numFmtId="0" fontId="9" fillId="0" borderId="0" xfId="0" applyFont="1" applyAlignment="1" applyProtection="1">
      <alignment horizontal="center"/>
      <protection locked="0"/>
    </xf>
    <xf numFmtId="0" fontId="0" fillId="0" borderId="0" xfId="0" applyBorder="1" applyAlignment="1" applyProtection="1">
      <alignment horizontal="center"/>
      <protection locked="0"/>
    </xf>
    <xf numFmtId="0" fontId="22" fillId="0" borderId="0" xfId="0" applyFont="1" applyAlignment="1">
      <alignment horizontal="center"/>
    </xf>
    <xf numFmtId="0" fontId="23" fillId="0" borderId="0" xfId="0" applyFont="1" applyAlignment="1">
      <alignment horizontal="center"/>
    </xf>
    <xf numFmtId="0" fontId="17" fillId="0" borderId="0" xfId="0" applyFont="1" applyBorder="1" applyAlignment="1">
      <alignment horizontal="center"/>
    </xf>
    <xf numFmtId="175" fontId="1" fillId="0" borderId="0" xfId="0" applyNumberFormat="1" applyFont="1" applyFill="1" applyBorder="1" applyAlignment="1">
      <alignment horizontal="center"/>
    </xf>
    <xf numFmtId="0" fontId="7" fillId="0" borderId="0" xfId="0" applyFont="1" applyAlignment="1">
      <alignment horizontal="center"/>
    </xf>
    <xf numFmtId="0" fontId="1" fillId="0" borderId="7" xfId="0" applyFont="1" applyBorder="1" applyAlignment="1">
      <alignment horizontal="right"/>
    </xf>
    <xf numFmtId="0" fontId="0" fillId="0" borderId="7" xfId="0" applyBorder="1" applyAlignment="1">
      <alignment horizontal="center"/>
    </xf>
    <xf numFmtId="0" fontId="0" fillId="0" borderId="7" xfId="0" applyBorder="1" applyAlignment="1">
      <alignment/>
    </xf>
    <xf numFmtId="0" fontId="1" fillId="0" borderId="7" xfId="0" applyFont="1" applyBorder="1" applyAlignment="1">
      <alignment horizontal="left"/>
    </xf>
    <xf numFmtId="0" fontId="0" fillId="0" borderId="9" xfId="0" applyBorder="1" applyAlignment="1">
      <alignment/>
    </xf>
    <xf numFmtId="0" fontId="0" fillId="0" borderId="9" xfId="0" applyBorder="1" applyAlignment="1">
      <alignment horizontal="center"/>
    </xf>
    <xf numFmtId="0" fontId="24" fillId="0" borderId="0" xfId="0" applyFont="1" applyAlignment="1">
      <alignment/>
    </xf>
    <xf numFmtId="0" fontId="15" fillId="0" borderId="0" xfId="0" applyFont="1" applyBorder="1" applyAlignment="1">
      <alignment/>
    </xf>
    <xf numFmtId="0" fontId="0" fillId="0" borderId="0" xfId="0" applyAlignment="1" applyProtection="1">
      <alignment/>
      <protection/>
    </xf>
    <xf numFmtId="0" fontId="0" fillId="0" borderId="1" xfId="0" applyBorder="1" applyAlignment="1" applyProtection="1">
      <alignment/>
      <protection locked="0"/>
    </xf>
    <xf numFmtId="0" fontId="0" fillId="0" borderId="0" xfId="0" applyBorder="1" applyAlignment="1" applyProtection="1">
      <alignment horizontal="center"/>
      <protection/>
    </xf>
    <xf numFmtId="0" fontId="15" fillId="0" borderId="1" xfId="0" applyFont="1" applyBorder="1" applyAlignment="1">
      <alignment horizontal="center"/>
    </xf>
    <xf numFmtId="0" fontId="16" fillId="0" borderId="0" xfId="0" applyFont="1" applyBorder="1" applyAlignment="1">
      <alignment horizontal="center"/>
    </xf>
    <xf numFmtId="0" fontId="1" fillId="0" borderId="0" xfId="0" applyFont="1" applyBorder="1" applyAlignment="1" applyProtection="1">
      <alignment horizontal="center"/>
      <protection/>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horizontal="center"/>
    </xf>
    <xf numFmtId="0" fontId="31" fillId="0" borderId="0" xfId="0" applyFont="1" applyAlignment="1">
      <alignment/>
    </xf>
    <xf numFmtId="2" fontId="27" fillId="0" borderId="0" xfId="0" applyNumberFormat="1" applyFont="1" applyAlignment="1" applyProtection="1">
      <alignment/>
      <protection/>
    </xf>
    <xf numFmtId="2" fontId="27" fillId="0" borderId="0" xfId="0" applyNumberFormat="1" applyFont="1" applyBorder="1" applyAlignment="1" applyProtection="1">
      <alignment/>
      <protection/>
    </xf>
    <xf numFmtId="0" fontId="0" fillId="0" borderId="0" xfId="0" applyBorder="1" applyAlignment="1" applyProtection="1">
      <alignment/>
      <protection/>
    </xf>
    <xf numFmtId="0" fontId="1" fillId="0" borderId="0" xfId="0" applyFont="1" applyBorder="1" applyAlignment="1">
      <alignment horizontal="right"/>
    </xf>
    <xf numFmtId="0" fontId="10" fillId="0" borderId="0" xfId="0" applyFont="1" applyBorder="1" applyAlignment="1">
      <alignment horizontal="center"/>
    </xf>
    <xf numFmtId="2" fontId="0" fillId="0" borderId="0" xfId="0" applyNumberFormat="1" applyBorder="1" applyAlignment="1">
      <alignment/>
    </xf>
    <xf numFmtId="0" fontId="0" fillId="3" borderId="7" xfId="0" applyFill="1" applyBorder="1" applyAlignment="1">
      <alignment horizontal="center"/>
    </xf>
    <xf numFmtId="0" fontId="17" fillId="0" borderId="0" xfId="0" applyFont="1" applyAlignment="1">
      <alignment horizontal="right"/>
    </xf>
    <xf numFmtId="0" fontId="8" fillId="0" borderId="0" xfId="0" applyFont="1" applyFill="1" applyBorder="1" applyAlignment="1">
      <alignment/>
    </xf>
    <xf numFmtId="0" fontId="0" fillId="0" borderId="1" xfId="0" applyBorder="1" applyAlignment="1" applyProtection="1">
      <alignment horizontal="center"/>
      <protection/>
    </xf>
    <xf numFmtId="2" fontId="0" fillId="2" borderId="1" xfId="0" applyNumberFormat="1" applyFill="1" applyBorder="1" applyAlignment="1">
      <alignment/>
    </xf>
    <xf numFmtId="2" fontId="0" fillId="0" borderId="1" xfId="0" applyNumberFormat="1" applyBorder="1" applyAlignment="1">
      <alignment/>
    </xf>
    <xf numFmtId="0" fontId="9" fillId="0" borderId="1" xfId="0" applyFont="1" applyBorder="1" applyAlignment="1">
      <alignment horizontal="center"/>
    </xf>
    <xf numFmtId="0" fontId="1" fillId="4" borderId="2" xfId="0" applyFont="1" applyFill="1" applyBorder="1" applyAlignment="1">
      <alignment horizontal="center"/>
    </xf>
    <xf numFmtId="0" fontId="10" fillId="0" borderId="0" xfId="0" applyFont="1" applyFill="1" applyAlignment="1">
      <alignment horizontal="left"/>
    </xf>
    <xf numFmtId="0" fontId="1" fillId="0" borderId="16"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17" fillId="0" borderId="0" xfId="0" applyFont="1" applyFill="1" applyBorder="1" applyAlignment="1">
      <alignment horizontal="center"/>
    </xf>
    <xf numFmtId="175" fontId="17" fillId="0" borderId="1" xfId="0" applyNumberFormat="1" applyFont="1" applyFill="1" applyBorder="1" applyAlignment="1">
      <alignment horizontal="center"/>
    </xf>
    <xf numFmtId="175" fontId="0" fillId="0" borderId="0" xfId="0" applyNumberFormat="1" applyFont="1" applyFill="1" applyBorder="1" applyAlignment="1">
      <alignment horizontal="center"/>
    </xf>
    <xf numFmtId="0" fontId="0" fillId="0" borderId="0" xfId="0" applyFont="1" applyFill="1" applyAlignment="1">
      <alignment horizontal="center"/>
    </xf>
    <xf numFmtId="2" fontId="17"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Alignment="1">
      <alignment horizontal="right"/>
    </xf>
    <xf numFmtId="2" fontId="8" fillId="2" borderId="1" xfId="0" applyNumberFormat="1" applyFont="1" applyFill="1" applyBorder="1" applyAlignment="1">
      <alignment/>
    </xf>
    <xf numFmtId="0" fontId="0" fillId="0" borderId="0" xfId="0" applyFill="1" applyAlignment="1">
      <alignment/>
    </xf>
    <xf numFmtId="0" fontId="3" fillId="0" borderId="0" xfId="0" applyFont="1" applyFill="1" applyBorder="1" applyAlignment="1">
      <alignment horizontal="right"/>
    </xf>
    <xf numFmtId="0" fontId="3" fillId="0" borderId="0" xfId="0" applyFont="1" applyFill="1" applyAlignment="1">
      <alignment horizontal="right"/>
    </xf>
    <xf numFmtId="0" fontId="35" fillId="0" borderId="1" xfId="0" applyFont="1" applyFill="1" applyBorder="1" applyAlignment="1">
      <alignment horizontal="center"/>
    </xf>
    <xf numFmtId="0" fontId="36" fillId="0" borderId="0" xfId="0" applyFont="1" applyFill="1" applyBorder="1" applyAlignment="1">
      <alignment horizontal="right"/>
    </xf>
    <xf numFmtId="0" fontId="10" fillId="0" borderId="1" xfId="0" applyFont="1" applyFill="1" applyBorder="1" applyAlignment="1">
      <alignment horizontal="center"/>
    </xf>
    <xf numFmtId="0" fontId="10" fillId="0" borderId="3" xfId="0" applyFont="1" applyFill="1" applyBorder="1" applyAlignment="1">
      <alignment horizontal="center"/>
    </xf>
    <xf numFmtId="0" fontId="36" fillId="0" borderId="0" xfId="0" applyFont="1" applyFill="1" applyAlignment="1">
      <alignment horizontal="right"/>
    </xf>
    <xf numFmtId="0" fontId="11" fillId="0" borderId="0" xfId="0" applyFont="1" applyFill="1" applyAlignment="1">
      <alignment/>
    </xf>
    <xf numFmtId="0" fontId="11" fillId="0" borderId="0" xfId="0" applyFont="1" applyFill="1" applyAlignment="1">
      <alignment horizontal="center"/>
    </xf>
    <xf numFmtId="0" fontId="38" fillId="0" borderId="0" xfId="0" applyFont="1" applyFill="1" applyAlignment="1">
      <alignment horizontal="right"/>
    </xf>
    <xf numFmtId="0" fontId="39" fillId="0" borderId="0" xfId="0" applyFont="1" applyFill="1" applyAlignment="1">
      <alignment horizontal="right"/>
    </xf>
    <xf numFmtId="0" fontId="10" fillId="0" borderId="0" xfId="0" applyFont="1" applyFill="1" applyAlignment="1">
      <alignment horizontal="right"/>
    </xf>
    <xf numFmtId="0" fontId="0" fillId="0" borderId="17" xfId="0" applyFont="1" applyFill="1" applyBorder="1" applyAlignment="1">
      <alignment/>
    </xf>
    <xf numFmtId="0" fontId="40" fillId="0" borderId="18" xfId="0" applyFont="1" applyFill="1" applyBorder="1" applyAlignment="1">
      <alignment horizontal="center"/>
    </xf>
    <xf numFmtId="0" fontId="16" fillId="0" borderId="18" xfId="0" applyFont="1" applyFill="1" applyBorder="1" applyAlignment="1">
      <alignment horizontal="center"/>
    </xf>
    <xf numFmtId="0" fontId="16" fillId="0" borderId="17" xfId="0" applyFont="1" applyFill="1" applyBorder="1" applyAlignment="1">
      <alignment horizontal="center"/>
    </xf>
    <xf numFmtId="0" fontId="0" fillId="0" borderId="0" xfId="0" applyFont="1" applyFill="1" applyAlignment="1">
      <alignment vertical="center"/>
    </xf>
    <xf numFmtId="0" fontId="0" fillId="0" borderId="0" xfId="0" applyFont="1" applyFill="1" applyBorder="1" applyAlignment="1">
      <alignment vertical="center"/>
    </xf>
    <xf numFmtId="0" fontId="0" fillId="5" borderId="1" xfId="0" applyFill="1" applyBorder="1" applyAlignment="1">
      <alignment horizontal="center"/>
    </xf>
    <xf numFmtId="0" fontId="0" fillId="0" borderId="19" xfId="0" applyBorder="1" applyAlignment="1">
      <alignment horizontal="center"/>
    </xf>
    <xf numFmtId="0" fontId="0" fillId="0" borderId="0" xfId="0" applyAlignment="1">
      <alignment horizontal="right" vertical="top"/>
    </xf>
    <xf numFmtId="0" fontId="0" fillId="0" borderId="0" xfId="0" applyAlignment="1">
      <alignment vertical="top"/>
    </xf>
    <xf numFmtId="0" fontId="41" fillId="0" borderId="0" xfId="0" applyFont="1" applyAlignment="1">
      <alignment horizontal="center"/>
    </xf>
    <xf numFmtId="0" fontId="16" fillId="0" borderId="0" xfId="0" applyFont="1" applyAlignment="1">
      <alignment horizontal="left"/>
    </xf>
    <xf numFmtId="0" fontId="0" fillId="0" borderId="20" xfId="0"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15" xfId="0" applyBorder="1" applyAlignment="1">
      <alignment/>
    </xf>
    <xf numFmtId="0" fontId="42" fillId="0" borderId="0" xfId="0" applyFont="1" applyAlignment="1">
      <alignment/>
    </xf>
    <xf numFmtId="0" fontId="0" fillId="0" borderId="0" xfId="0" applyNumberFormat="1" applyAlignment="1">
      <alignment/>
    </xf>
    <xf numFmtId="0" fontId="43" fillId="0" borderId="0" xfId="0" applyFont="1" applyAlignment="1">
      <alignment horizontal="right"/>
    </xf>
    <xf numFmtId="0" fontId="44" fillId="0" borderId="0" xfId="0" applyFont="1" applyAlignment="1">
      <alignment/>
    </xf>
    <xf numFmtId="0" fontId="45" fillId="0" borderId="7" xfId="0" applyFont="1" applyBorder="1" applyAlignment="1" applyProtection="1">
      <alignment horizontal="center"/>
      <protection locked="0"/>
    </xf>
    <xf numFmtId="0" fontId="46" fillId="0" borderId="0" xfId="0" applyFont="1" applyAlignment="1">
      <alignment vertical="center"/>
    </xf>
    <xf numFmtId="0" fontId="47" fillId="0" borderId="0" xfId="0" applyFont="1" applyAlignment="1">
      <alignment/>
    </xf>
    <xf numFmtId="0" fontId="25" fillId="0" borderId="0" xfId="0" applyFont="1" applyAlignment="1">
      <alignment horizontal="right"/>
    </xf>
    <xf numFmtId="15" fontId="0" fillId="0" borderId="7" xfId="0" applyNumberFormat="1" applyBorder="1" applyAlignment="1" applyProtection="1">
      <alignment/>
      <protection locked="0"/>
    </xf>
    <xf numFmtId="0" fontId="0" fillId="0" borderId="7" xfId="0" applyBorder="1" applyAlignment="1" applyProtection="1">
      <alignment/>
      <protection locked="0"/>
    </xf>
    <xf numFmtId="0" fontId="48" fillId="0" borderId="1" xfId="0" applyFont="1" applyFill="1" applyBorder="1" applyAlignment="1" applyProtection="1">
      <alignment/>
      <protection/>
    </xf>
    <xf numFmtId="2" fontId="0" fillId="0" borderId="1" xfId="18" applyNumberFormat="1" applyFont="1" applyFill="1" applyBorder="1" applyAlignment="1" applyProtection="1">
      <alignment horizontal="center"/>
      <protection/>
    </xf>
    <xf numFmtId="0" fontId="0" fillId="0" borderId="0" xfId="0" applyFill="1" applyAlignment="1" applyProtection="1">
      <alignment/>
      <protection/>
    </xf>
    <xf numFmtId="173" fontId="0" fillId="0" borderId="1" xfId="18" applyNumberFormat="1" applyFont="1" applyFill="1" applyBorder="1" applyAlignment="1" applyProtection="1">
      <alignment horizontal="center"/>
      <protection/>
    </xf>
    <xf numFmtId="175" fontId="0" fillId="0" borderId="1" xfId="0" applyNumberFormat="1" applyFont="1" applyFill="1" applyBorder="1" applyAlignment="1" applyProtection="1">
      <alignment horizontal="center"/>
      <protection/>
    </xf>
    <xf numFmtId="175" fontId="0" fillId="0" borderId="1" xfId="0" applyNumberFormat="1" applyFill="1" applyBorder="1" applyAlignment="1" applyProtection="1">
      <alignment horizontal="center"/>
      <protection/>
    </xf>
    <xf numFmtId="2" fontId="0" fillId="0" borderId="1" xfId="0" applyNumberFormat="1" applyFont="1" applyFill="1" applyBorder="1" applyAlignment="1" applyProtection="1">
      <alignment horizontal="center"/>
      <protection/>
    </xf>
    <xf numFmtId="2" fontId="0" fillId="0" borderId="1" xfId="0" applyNumberFormat="1" applyFill="1" applyBorder="1" applyAlignment="1" applyProtection="1">
      <alignment horizontal="center"/>
      <protection/>
    </xf>
    <xf numFmtId="173" fontId="0" fillId="0" borderId="1" xfId="0" applyNumberFormat="1" applyFont="1" applyFill="1" applyBorder="1" applyAlignment="1" applyProtection="1">
      <alignment horizontal="center"/>
      <protection/>
    </xf>
    <xf numFmtId="0" fontId="48" fillId="0" borderId="1" xfId="0" applyFont="1" applyBorder="1" applyAlignment="1" applyProtection="1">
      <alignment/>
      <protection/>
    </xf>
    <xf numFmtId="175" fontId="0" fillId="0" borderId="1" xfId="0" applyNumberFormat="1" applyFont="1" applyBorder="1" applyAlignment="1" applyProtection="1">
      <alignment horizontal="center"/>
      <protection/>
    </xf>
    <xf numFmtId="0" fontId="48" fillId="0" borderId="0" xfId="0" applyFont="1" applyAlignment="1" applyProtection="1">
      <alignment/>
      <protection/>
    </xf>
    <xf numFmtId="0" fontId="0" fillId="0" borderId="0" xfId="0" applyAlignment="1" applyProtection="1">
      <alignment horizontal="center"/>
      <protection/>
    </xf>
    <xf numFmtId="1" fontId="1" fillId="0" borderId="1" xfId="0" applyNumberFormat="1" applyFont="1" applyFill="1" applyBorder="1" applyAlignment="1" applyProtection="1">
      <alignment horizontal="center"/>
      <protection/>
    </xf>
    <xf numFmtId="2" fontId="0" fillId="0" borderId="1" xfId="0" applyNumberFormat="1" applyBorder="1" applyAlignment="1" applyProtection="1">
      <alignment horizontal="center"/>
      <protection/>
    </xf>
    <xf numFmtId="175" fontId="0" fillId="0" borderId="1" xfId="0" applyNumberFormat="1" applyBorder="1" applyAlignment="1" applyProtection="1">
      <alignment horizontal="center"/>
      <protection/>
    </xf>
    <xf numFmtId="174" fontId="0" fillId="0" borderId="1" xfId="0" applyNumberFormat="1" applyBorder="1" applyAlignment="1" applyProtection="1">
      <alignment horizontal="center"/>
      <protection/>
    </xf>
    <xf numFmtId="178" fontId="0" fillId="0" borderId="1" xfId="0" applyNumberFormat="1" applyBorder="1" applyAlignment="1" applyProtection="1">
      <alignment horizontal="center"/>
      <protection/>
    </xf>
    <xf numFmtId="0" fontId="49" fillId="0" borderId="1" xfId="0" applyFont="1" applyFill="1" applyBorder="1" applyAlignment="1" applyProtection="1">
      <alignment/>
      <protection/>
    </xf>
    <xf numFmtId="0" fontId="50" fillId="0" borderId="1" xfId="0" applyFont="1" applyFill="1" applyBorder="1" applyAlignment="1" applyProtection="1">
      <alignment/>
      <protection/>
    </xf>
    <xf numFmtId="2" fontId="0" fillId="0" borderId="0" xfId="0" applyNumberFormat="1" applyAlignment="1" applyProtection="1">
      <alignment/>
      <protection/>
    </xf>
    <xf numFmtId="0" fontId="33" fillId="0" borderId="0" xfId="0" applyFont="1" applyAlignment="1" applyProtection="1">
      <alignment horizontal="right"/>
      <protection/>
    </xf>
    <xf numFmtId="0" fontId="33" fillId="0" borderId="0" xfId="0" applyFont="1" applyAlignment="1" applyProtection="1">
      <alignment/>
      <protection/>
    </xf>
    <xf numFmtId="174" fontId="0" fillId="0" borderId="0" xfId="0" applyNumberFormat="1" applyAlignment="1" applyProtection="1">
      <alignment horizontal="center"/>
      <protection/>
    </xf>
    <xf numFmtId="0" fontId="48" fillId="0" borderId="0" xfId="0" applyFont="1" applyAlignment="1" applyProtection="1">
      <alignment horizontal="right"/>
      <protection/>
    </xf>
    <xf numFmtId="14" fontId="51" fillId="0" borderId="0" xfId="0" applyNumberFormat="1" applyFont="1" applyAlignment="1" applyProtection="1">
      <alignment horizontal="left"/>
      <protection/>
    </xf>
    <xf numFmtId="0" fontId="3" fillId="0" borderId="7" xfId="0" applyFont="1" applyBorder="1" applyAlignment="1" applyProtection="1">
      <alignment/>
      <protection/>
    </xf>
    <xf numFmtId="0" fontId="0" fillId="0" borderId="0" xfId="0" applyAlignment="1" applyProtection="1">
      <alignment horizontal="right"/>
      <protection/>
    </xf>
    <xf numFmtId="0" fontId="0" fillId="0" borderId="7" xfId="0" applyBorder="1" applyAlignment="1" applyProtection="1">
      <alignment/>
      <protection/>
    </xf>
    <xf numFmtId="0" fontId="52" fillId="0" borderId="0" xfId="0" applyFont="1" applyAlignment="1">
      <alignment/>
    </xf>
    <xf numFmtId="0" fontId="53" fillId="0" borderId="0" xfId="0" applyFont="1" applyAlignment="1">
      <alignment/>
    </xf>
    <xf numFmtId="0" fontId="0" fillId="5" borderId="1" xfId="0" applyFill="1" applyBorder="1" applyAlignment="1" applyProtection="1">
      <alignment horizontal="center"/>
      <protection locked="0"/>
    </xf>
    <xf numFmtId="0" fontId="1" fillId="5" borderId="1" xfId="0" applyFont="1" applyFill="1" applyBorder="1" applyAlignment="1">
      <alignment horizontal="center"/>
    </xf>
    <xf numFmtId="0" fontId="0" fillId="5" borderId="15" xfId="0" applyFill="1" applyBorder="1" applyAlignment="1">
      <alignment horizontal="center"/>
    </xf>
    <xf numFmtId="0" fontId="29" fillId="0" borderId="1" xfId="0" applyFont="1" applyBorder="1" applyAlignment="1" applyProtection="1">
      <alignment horizontal="center"/>
      <protection locked="0"/>
    </xf>
    <xf numFmtId="0" fontId="29" fillId="0" borderId="0" xfId="0" applyFont="1" applyAlignment="1">
      <alignment horizontal="right"/>
    </xf>
    <xf numFmtId="0" fontId="29" fillId="0" borderId="0" xfId="0" applyFont="1" applyBorder="1" applyAlignment="1">
      <alignment horizontal="right"/>
    </xf>
    <xf numFmtId="2" fontId="10" fillId="5" borderId="1" xfId="0" applyNumberFormat="1"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10" fillId="5" borderId="1" xfId="0" applyFont="1" applyFill="1" applyBorder="1" applyAlignment="1" applyProtection="1">
      <alignment horizontal="center"/>
      <protection locked="0"/>
    </xf>
    <xf numFmtId="2" fontId="1" fillId="3" borderId="7" xfId="0" applyNumberFormat="1" applyFont="1" applyFill="1" applyBorder="1" applyAlignment="1">
      <alignment horizontal="center"/>
    </xf>
    <xf numFmtId="2" fontId="0" fillId="3" borderId="7" xfId="0" applyNumberFormat="1" applyFill="1" applyBorder="1" applyAlignment="1">
      <alignment horizontal="center"/>
    </xf>
    <xf numFmtId="174" fontId="0" fillId="3" borderId="7" xfId="0" applyNumberFormat="1" applyFill="1" applyBorder="1" applyAlignment="1">
      <alignment horizontal="center"/>
    </xf>
    <xf numFmtId="0" fontId="17" fillId="6" borderId="0" xfId="0" applyFont="1" applyFill="1" applyAlignment="1">
      <alignment/>
    </xf>
    <xf numFmtId="0" fontId="16" fillId="5" borderId="1" xfId="0" applyFont="1" applyFill="1" applyBorder="1" applyAlignment="1" applyProtection="1">
      <alignment horizontal="center"/>
      <protection locked="0"/>
    </xf>
    <xf numFmtId="0" fontId="16" fillId="5" borderId="1" xfId="0" applyFont="1" applyFill="1" applyBorder="1" applyAlignment="1">
      <alignment horizontal="center"/>
    </xf>
    <xf numFmtId="0" fontId="0" fillId="0" borderId="7" xfId="0" applyFill="1" applyBorder="1" applyAlignment="1">
      <alignment horizontal="center"/>
    </xf>
    <xf numFmtId="0" fontId="20" fillId="5" borderId="22" xfId="27" applyFill="1" applyBorder="1" applyAlignment="1">
      <alignment horizontal="center"/>
    </xf>
    <xf numFmtId="0" fontId="5" fillId="5" borderId="1" xfId="0" applyFont="1" applyFill="1" applyBorder="1" applyAlignment="1">
      <alignment horizontal="center"/>
    </xf>
    <xf numFmtId="0" fontId="2" fillId="0" borderId="0" xfId="0" applyFont="1" applyAlignment="1">
      <alignment horizontal="right"/>
    </xf>
    <xf numFmtId="174" fontId="0" fillId="0" borderId="1" xfId="0" applyNumberFormat="1" applyBorder="1" applyAlignment="1" applyProtection="1">
      <alignment horizontal="center"/>
      <protection locked="0"/>
    </xf>
    <xf numFmtId="0" fontId="59" fillId="5" borderId="1" xfId="0" applyFont="1" applyFill="1" applyBorder="1" applyAlignment="1">
      <alignment horizontal="center"/>
    </xf>
    <xf numFmtId="0" fontId="59" fillId="5" borderId="15" xfId="0" applyFont="1" applyFill="1" applyBorder="1" applyAlignment="1">
      <alignment horizontal="center"/>
    </xf>
    <xf numFmtId="0" fontId="0" fillId="0" borderId="1" xfId="0" applyFill="1" applyBorder="1" applyAlignment="1">
      <alignment horizontal="center"/>
    </xf>
    <xf numFmtId="174" fontId="1" fillId="5" borderId="1" xfId="0" applyNumberFormat="1" applyFont="1" applyFill="1" applyBorder="1" applyAlignment="1">
      <alignment horizontal="center"/>
    </xf>
    <xf numFmtId="174" fontId="1" fillId="3" borderId="7" xfId="0" applyNumberFormat="1" applyFont="1" applyFill="1" applyBorder="1" applyAlignment="1">
      <alignment horizontal="center"/>
    </xf>
    <xf numFmtId="2" fontId="16" fillId="3" borderId="7" xfId="0" applyNumberFormat="1" applyFont="1" applyFill="1" applyBorder="1" applyAlignment="1">
      <alignment horizontal="center"/>
    </xf>
    <xf numFmtId="0" fontId="1" fillId="3" borderId="7" xfId="0" applyFont="1" applyFill="1" applyBorder="1" applyAlignment="1">
      <alignment horizontal="center"/>
    </xf>
    <xf numFmtId="0" fontId="0" fillId="0" borderId="15" xfId="0" applyBorder="1" applyAlignment="1" applyProtection="1">
      <alignment horizontal="center"/>
      <protection locked="0"/>
    </xf>
    <xf numFmtId="0" fontId="1" fillId="7" borderId="1" xfId="0" applyFont="1" applyFill="1" applyBorder="1" applyAlignment="1">
      <alignment horizontal="center"/>
    </xf>
    <xf numFmtId="0" fontId="10" fillId="7" borderId="1" xfId="0" applyFont="1" applyFill="1" applyBorder="1" applyAlignment="1">
      <alignment horizontal="center"/>
    </xf>
    <xf numFmtId="0" fontId="19" fillId="0" borderId="0" xfId="0" applyFont="1" applyAlignment="1">
      <alignment horizontal="right"/>
    </xf>
    <xf numFmtId="1" fontId="1" fillId="7" borderId="1" xfId="0" applyNumberFormat="1" applyFont="1" applyFill="1" applyBorder="1" applyAlignment="1">
      <alignment horizontal="center"/>
    </xf>
    <xf numFmtId="0" fontId="1" fillId="0" borderId="0" xfId="0" applyFont="1" applyAlignment="1">
      <alignment horizontal="left"/>
    </xf>
    <xf numFmtId="1" fontId="10" fillId="7" borderId="1" xfId="0" applyNumberFormat="1" applyFont="1" applyFill="1" applyBorder="1" applyAlignment="1">
      <alignment horizontal="center"/>
    </xf>
    <xf numFmtId="0" fontId="61" fillId="0" borderId="1" xfId="0" applyFont="1" applyBorder="1" applyAlignment="1">
      <alignment horizontal="center"/>
    </xf>
    <xf numFmtId="0" fontId="62" fillId="0" borderId="0" xfId="0" applyFont="1" applyAlignment="1">
      <alignment/>
    </xf>
    <xf numFmtId="0" fontId="62" fillId="0" borderId="1" xfId="0" applyFont="1" applyBorder="1" applyAlignment="1">
      <alignment horizontal="center"/>
    </xf>
    <xf numFmtId="0" fontId="10" fillId="0" borderId="0" xfId="0" applyFont="1" applyFill="1" applyAlignment="1">
      <alignment horizontal="center"/>
    </xf>
    <xf numFmtId="0" fontId="10" fillId="0" borderId="0" xfId="0" applyFont="1" applyAlignment="1">
      <alignment horizontal="right"/>
    </xf>
    <xf numFmtId="175" fontId="0" fillId="5" borderId="1" xfId="0" applyNumberFormat="1" applyFill="1" applyBorder="1" applyAlignment="1">
      <alignment horizontal="center"/>
    </xf>
    <xf numFmtId="0" fontId="0" fillId="5" borderId="23" xfId="0" applyFill="1" applyBorder="1" applyAlignment="1">
      <alignment horizontal="center"/>
    </xf>
    <xf numFmtId="0" fontId="0" fillId="5" borderId="19" xfId="0" applyFill="1" applyBorder="1" applyAlignment="1">
      <alignment horizontal="center"/>
    </xf>
    <xf numFmtId="2" fontId="0" fillId="5" borderId="0" xfId="0" applyNumberFormat="1" applyFill="1" applyAlignment="1">
      <alignment vertical="top"/>
    </xf>
    <xf numFmtId="0" fontId="0" fillId="5" borderId="0" xfId="0" applyFill="1" applyAlignment="1">
      <alignment vertical="top"/>
    </xf>
    <xf numFmtId="174" fontId="0" fillId="5" borderId="0" xfId="0" applyNumberFormat="1" applyFill="1" applyAlignment="1">
      <alignment vertical="top"/>
    </xf>
    <xf numFmtId="0" fontId="0" fillId="5" borderId="24" xfId="0" applyFill="1" applyBorder="1" applyAlignment="1">
      <alignment horizontal="center"/>
    </xf>
    <xf numFmtId="0" fontId="0" fillId="5" borderId="25" xfId="0" applyFill="1" applyBorder="1" applyAlignment="1">
      <alignment horizontal="center"/>
    </xf>
    <xf numFmtId="0" fontId="1" fillId="5" borderId="26" xfId="0" applyFont="1" applyFill="1" applyBorder="1" applyAlignment="1">
      <alignment horizontal="center"/>
    </xf>
    <xf numFmtId="0" fontId="1" fillId="5" borderId="20" xfId="0" applyFont="1" applyFill="1" applyBorder="1" applyAlignment="1">
      <alignment horizontal="center"/>
    </xf>
    <xf numFmtId="0" fontId="1" fillId="5" borderId="20" xfId="0" applyFont="1" applyFill="1" applyBorder="1" applyAlignment="1">
      <alignment/>
    </xf>
    <xf numFmtId="0" fontId="1" fillId="5" borderId="21" xfId="0" applyFont="1" applyFill="1" applyBorder="1" applyAlignment="1">
      <alignment/>
    </xf>
    <xf numFmtId="0" fontId="1" fillId="5" borderId="21" xfId="0" applyFont="1" applyFill="1" applyBorder="1" applyAlignment="1">
      <alignment horizontal="center"/>
    </xf>
    <xf numFmtId="0" fontId="0" fillId="5" borderId="0" xfId="0" applyFill="1" applyAlignment="1">
      <alignment horizontal="right" vertical="top"/>
    </xf>
    <xf numFmtId="0" fontId="0" fillId="5" borderId="26"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174" fontId="0" fillId="5" borderId="1" xfId="0" applyNumberFormat="1" applyFill="1" applyBorder="1" applyAlignment="1">
      <alignment horizontal="center"/>
    </xf>
    <xf numFmtId="175" fontId="10" fillId="5" borderId="1" xfId="0" applyNumberFormat="1" applyFont="1" applyFill="1" applyBorder="1" applyAlignment="1">
      <alignment horizontal="center"/>
    </xf>
    <xf numFmtId="2" fontId="10" fillId="5" borderId="1" xfId="0" applyNumberFormat="1" applyFont="1" applyFill="1" applyBorder="1" applyAlignment="1">
      <alignment horizontal="center"/>
    </xf>
    <xf numFmtId="0" fontId="10" fillId="5" borderId="1" xfId="0" applyFont="1" applyFill="1" applyBorder="1" applyAlignment="1">
      <alignment horizontal="center"/>
    </xf>
    <xf numFmtId="0" fontId="15" fillId="0" borderId="0" xfId="0" applyFont="1" applyAlignment="1">
      <alignment horizontal="center"/>
    </xf>
    <xf numFmtId="0" fontId="10" fillId="0" borderId="7" xfId="0" applyFont="1" applyBorder="1" applyAlignment="1">
      <alignment horizontal="center"/>
    </xf>
    <xf numFmtId="2" fontId="9" fillId="5" borderId="16" xfId="0" applyNumberFormat="1" applyFont="1" applyFill="1" applyBorder="1" applyAlignment="1">
      <alignment horizontal="center"/>
    </xf>
    <xf numFmtId="0" fontId="9" fillId="0" borderId="0" xfId="0" applyFont="1" applyAlignment="1">
      <alignment horizontal="right"/>
    </xf>
    <xf numFmtId="2" fontId="19" fillId="5" borderId="1" xfId="0" applyNumberFormat="1" applyFont="1" applyFill="1" applyBorder="1" applyAlignment="1">
      <alignment horizontal="center"/>
    </xf>
    <xf numFmtId="174" fontId="2" fillId="0" borderId="0" xfId="0" applyNumberFormat="1" applyFont="1" applyAlignment="1">
      <alignment horizontal="center"/>
    </xf>
    <xf numFmtId="174" fontId="19" fillId="5" borderId="0" xfId="0" applyNumberFormat="1" applyFont="1" applyFill="1" applyAlignment="1">
      <alignment horizontal="center"/>
    </xf>
    <xf numFmtId="0" fontId="20" fillId="0" borderId="0" xfId="27" applyBorder="1" applyAlignment="1">
      <alignment horizontal="center"/>
    </xf>
    <xf numFmtId="0" fontId="0" fillId="0" borderId="20" xfId="0" applyBorder="1" applyAlignment="1" applyProtection="1">
      <alignment horizontal="center"/>
      <protection locked="0"/>
    </xf>
    <xf numFmtId="0" fontId="2" fillId="0" borderId="0" xfId="0" applyFont="1" applyBorder="1" applyAlignment="1">
      <alignment horizontal="center"/>
    </xf>
    <xf numFmtId="0" fontId="1" fillId="4" borderId="1" xfId="0" applyFont="1" applyFill="1" applyBorder="1" applyAlignment="1" applyProtection="1">
      <alignment horizontal="center"/>
      <protection locked="0"/>
    </xf>
    <xf numFmtId="0" fontId="15" fillId="5" borderId="1" xfId="0" applyFont="1" applyFill="1" applyBorder="1" applyAlignment="1">
      <alignment horizontal="center"/>
    </xf>
    <xf numFmtId="175" fontId="1" fillId="5" borderId="1" xfId="0" applyNumberFormat="1" applyFont="1" applyFill="1" applyBorder="1" applyAlignment="1">
      <alignment horizontal="center"/>
    </xf>
    <xf numFmtId="2" fontId="27" fillId="0" borderId="27" xfId="0" applyNumberFormat="1" applyFont="1" applyBorder="1" applyAlignment="1" applyProtection="1">
      <alignment/>
      <protection/>
    </xf>
    <xf numFmtId="14" fontId="0" fillId="0" borderId="7" xfId="0" applyNumberFormat="1" applyBorder="1" applyAlignment="1">
      <alignment horizontal="center"/>
    </xf>
    <xf numFmtId="1" fontId="33" fillId="0" borderId="0" xfId="0" applyNumberFormat="1" applyFont="1" applyAlignment="1">
      <alignment horizontal="center" vertical="center"/>
    </xf>
    <xf numFmtId="1" fontId="68" fillId="0" borderId="0" xfId="0" applyNumberFormat="1" applyFont="1" applyAlignment="1">
      <alignment horizontal="center" vertical="center"/>
    </xf>
    <xf numFmtId="1" fontId="68" fillId="0" borderId="0" xfId="0" applyNumberFormat="1" applyFont="1" applyFill="1" applyAlignment="1">
      <alignment horizontal="center" vertical="center"/>
    </xf>
    <xf numFmtId="175" fontId="69" fillId="5" borderId="1" xfId="0" applyNumberFormat="1" applyFont="1" applyFill="1" applyBorder="1" applyAlignment="1">
      <alignment horizontal="center" vertical="center"/>
    </xf>
    <xf numFmtId="1" fontId="70" fillId="5" borderId="1" xfId="0" applyNumberFormat="1" applyFont="1" applyFill="1" applyBorder="1" applyAlignment="1">
      <alignment horizontal="center" vertical="center"/>
    </xf>
    <xf numFmtId="174" fontId="70" fillId="5" borderId="1" xfId="0" applyNumberFormat="1" applyFont="1" applyFill="1" applyBorder="1" applyAlignment="1">
      <alignment horizontal="center" vertical="center"/>
    </xf>
    <xf numFmtId="175" fontId="70" fillId="5" borderId="1" xfId="0" applyNumberFormat="1" applyFont="1" applyFill="1" applyBorder="1" applyAlignment="1">
      <alignment horizontal="center" vertical="center"/>
    </xf>
    <xf numFmtId="2" fontId="70" fillId="5" borderId="1" xfId="0" applyNumberFormat="1" applyFont="1" applyFill="1" applyBorder="1" applyAlignment="1">
      <alignment horizontal="center" vertical="center"/>
    </xf>
    <xf numFmtId="175" fontId="69" fillId="0" borderId="0" xfId="0" applyNumberFormat="1" applyFont="1" applyFill="1" applyBorder="1" applyAlignment="1">
      <alignment horizontal="center" vertical="center"/>
    </xf>
    <xf numFmtId="174" fontId="71" fillId="0" borderId="0" xfId="0" applyNumberFormat="1" applyFont="1" applyFill="1" applyBorder="1" applyAlignment="1">
      <alignment horizontal="center" vertical="center"/>
    </xf>
    <xf numFmtId="175" fontId="33" fillId="0" borderId="0" xfId="0" applyNumberFormat="1" applyFont="1" applyAlignment="1">
      <alignment horizontal="center" vertical="center"/>
    </xf>
    <xf numFmtId="175" fontId="33" fillId="0" borderId="13" xfId="0" applyNumberFormat="1" applyFont="1" applyBorder="1" applyAlignment="1">
      <alignment horizontal="center" vertical="center"/>
    </xf>
    <xf numFmtId="174" fontId="33" fillId="0" borderId="0" xfId="0" applyNumberFormat="1" applyFont="1" applyAlignment="1">
      <alignment horizontal="center" vertical="center"/>
    </xf>
    <xf numFmtId="2" fontId="33" fillId="0" borderId="0" xfId="0" applyNumberFormat="1" applyFont="1" applyAlignment="1">
      <alignment horizontal="center" vertical="center"/>
    </xf>
    <xf numFmtId="175" fontId="72" fillId="0" borderId="0" xfId="0" applyNumberFormat="1" applyFont="1" applyFill="1" applyBorder="1" applyAlignment="1">
      <alignment horizontal="center" vertical="center"/>
    </xf>
    <xf numFmtId="1" fontId="70" fillId="8" borderId="1" xfId="0" applyNumberFormat="1" applyFont="1" applyFill="1" applyBorder="1" applyAlignment="1">
      <alignment horizontal="center" vertical="center"/>
    </xf>
    <xf numFmtId="1" fontId="33" fillId="3" borderId="1" xfId="0" applyNumberFormat="1" applyFont="1" applyFill="1" applyBorder="1" applyAlignment="1">
      <alignment horizontal="center" vertical="center"/>
    </xf>
    <xf numFmtId="1" fontId="33" fillId="3" borderId="22" xfId="0" applyNumberFormat="1" applyFont="1" applyFill="1" applyBorder="1" applyAlignment="1">
      <alignment horizontal="center" vertical="center"/>
    </xf>
    <xf numFmtId="1" fontId="33" fillId="0" borderId="28" xfId="0" applyNumberFormat="1" applyFont="1" applyBorder="1" applyAlignment="1">
      <alignment horizontal="center" vertical="center"/>
    </xf>
    <xf numFmtId="175" fontId="33" fillId="5" borderId="20" xfId="0" applyNumberFormat="1" applyFont="1" applyFill="1" applyBorder="1" applyAlignment="1">
      <alignment horizontal="center" vertical="center"/>
    </xf>
    <xf numFmtId="178" fontId="33" fillId="0" borderId="12" xfId="0" applyNumberFormat="1" applyFont="1" applyBorder="1" applyAlignment="1">
      <alignment horizontal="center" vertical="center"/>
    </xf>
    <xf numFmtId="175" fontId="68" fillId="5" borderId="1" xfId="0" applyNumberFormat="1" applyFont="1" applyFill="1" applyBorder="1" applyAlignment="1">
      <alignment horizontal="center" vertical="center"/>
    </xf>
    <xf numFmtId="175" fontId="68" fillId="0" borderId="0" xfId="0" applyNumberFormat="1" applyFont="1" applyFill="1" applyBorder="1" applyAlignment="1">
      <alignment horizontal="center" vertical="center"/>
    </xf>
    <xf numFmtId="175" fontId="33" fillId="0" borderId="0" xfId="0" applyNumberFormat="1" applyFont="1" applyFill="1" applyBorder="1" applyAlignment="1">
      <alignment horizontal="right" vertical="center"/>
    </xf>
    <xf numFmtId="0" fontId="33" fillId="5" borderId="1" xfId="0" applyNumberFormat="1" applyFont="1" applyFill="1" applyBorder="1" applyAlignment="1">
      <alignment horizontal="center" vertical="center"/>
    </xf>
    <xf numFmtId="175" fontId="33" fillId="5" borderId="22" xfId="0" applyNumberFormat="1" applyFont="1" applyFill="1" applyBorder="1" applyAlignment="1">
      <alignment horizontal="center" vertical="center"/>
    </xf>
    <xf numFmtId="1" fontId="33" fillId="0" borderId="11" xfId="0" applyNumberFormat="1" applyFont="1" applyBorder="1" applyAlignment="1">
      <alignment horizontal="center" vertical="center"/>
    </xf>
    <xf numFmtId="1" fontId="33" fillId="5" borderId="1" xfId="0" applyNumberFormat="1" applyFont="1" applyFill="1" applyBorder="1" applyAlignment="1">
      <alignment horizontal="center" vertical="center"/>
    </xf>
    <xf numFmtId="178" fontId="33" fillId="0" borderId="0" xfId="0" applyNumberFormat="1" applyFont="1" applyBorder="1" applyAlignment="1">
      <alignment horizontal="center" vertical="center"/>
    </xf>
    <xf numFmtId="178" fontId="33" fillId="0" borderId="0" xfId="0" applyNumberFormat="1" applyFont="1" applyAlignment="1">
      <alignment horizontal="center" vertical="center"/>
    </xf>
    <xf numFmtId="174" fontId="33" fillId="5" borderId="1" xfId="0" applyNumberFormat="1" applyFont="1" applyFill="1" applyBorder="1" applyAlignment="1">
      <alignment horizontal="center" vertical="center"/>
    </xf>
    <xf numFmtId="178" fontId="33" fillId="5" borderId="1" xfId="0" applyNumberFormat="1" applyFont="1" applyFill="1" applyBorder="1" applyAlignment="1">
      <alignment horizontal="center" vertical="center"/>
    </xf>
    <xf numFmtId="178" fontId="33" fillId="5" borderId="22" xfId="0" applyNumberFormat="1" applyFont="1" applyFill="1" applyBorder="1" applyAlignment="1">
      <alignment horizontal="center" vertical="center"/>
    </xf>
    <xf numFmtId="178" fontId="33" fillId="0" borderId="11" xfId="0" applyNumberFormat="1" applyFont="1" applyBorder="1" applyAlignment="1">
      <alignment horizontal="center" vertical="center"/>
    </xf>
    <xf numFmtId="173" fontId="33" fillId="5" borderId="1" xfId="0" applyNumberFormat="1" applyFont="1" applyFill="1" applyBorder="1" applyAlignment="1">
      <alignment horizontal="center" vertical="center"/>
    </xf>
    <xf numFmtId="178" fontId="33" fillId="0" borderId="13" xfId="0" applyNumberFormat="1" applyFont="1" applyBorder="1" applyAlignment="1">
      <alignment horizontal="center" vertical="center"/>
    </xf>
    <xf numFmtId="178" fontId="73" fillId="0" borderId="29" xfId="0" applyNumberFormat="1" applyFont="1" applyBorder="1" applyAlignment="1">
      <alignment horizontal="center" vertical="center"/>
    </xf>
    <xf numFmtId="174" fontId="33" fillId="4" borderId="15" xfId="0" applyNumberFormat="1" applyFont="1" applyFill="1" applyBorder="1" applyAlignment="1">
      <alignment horizontal="center" vertical="center"/>
    </xf>
    <xf numFmtId="178" fontId="33" fillId="0" borderId="14" xfId="0" applyNumberFormat="1" applyFont="1" applyBorder="1" applyAlignment="1">
      <alignment horizontal="center" vertical="center"/>
    </xf>
    <xf numFmtId="1" fontId="69" fillId="0" borderId="28" xfId="0" applyNumberFormat="1" applyFont="1" applyBorder="1" applyAlignment="1">
      <alignment horizontal="center" vertical="center"/>
    </xf>
    <xf numFmtId="178" fontId="33" fillId="0" borderId="5" xfId="0" applyNumberFormat="1" applyFont="1" applyBorder="1" applyAlignment="1">
      <alignment horizontal="center" vertical="center"/>
    </xf>
    <xf numFmtId="1" fontId="69" fillId="0" borderId="11" xfId="0" applyNumberFormat="1" applyFont="1" applyBorder="1" applyAlignment="1">
      <alignment horizontal="center" vertical="center"/>
    </xf>
    <xf numFmtId="175" fontId="33" fillId="5" borderId="1" xfId="0" applyNumberFormat="1" applyFont="1" applyFill="1" applyBorder="1" applyAlignment="1">
      <alignment horizontal="center" vertical="center"/>
    </xf>
    <xf numFmtId="174" fontId="33" fillId="0" borderId="0" xfId="0" applyNumberFormat="1" applyFont="1" applyBorder="1" applyAlignment="1">
      <alignment horizontal="center" vertical="center"/>
    </xf>
    <xf numFmtId="175" fontId="33" fillId="4" borderId="15" xfId="0" applyNumberFormat="1" applyFont="1" applyFill="1" applyBorder="1" applyAlignment="1">
      <alignment horizontal="center" vertical="center"/>
    </xf>
    <xf numFmtId="1" fontId="74" fillId="9" borderId="1" xfId="0" applyNumberFormat="1" applyFont="1" applyFill="1" applyBorder="1" applyAlignment="1">
      <alignment horizontal="center" vertical="center"/>
    </xf>
    <xf numFmtId="2" fontId="33" fillId="5" borderId="1" xfId="0" applyNumberFormat="1" applyFont="1" applyFill="1" applyBorder="1" applyAlignment="1">
      <alignment horizontal="center" vertical="center"/>
    </xf>
    <xf numFmtId="173" fontId="33" fillId="4" borderId="15" xfId="0" applyNumberFormat="1" applyFont="1" applyFill="1" applyBorder="1" applyAlignment="1">
      <alignment horizontal="center" vertical="center"/>
    </xf>
    <xf numFmtId="178" fontId="73" fillId="0" borderId="29" xfId="0" applyNumberFormat="1" applyFont="1" applyFill="1" applyBorder="1" applyAlignment="1">
      <alignment horizontal="center" vertical="center"/>
    </xf>
    <xf numFmtId="2" fontId="33" fillId="4" borderId="15" xfId="0" applyNumberFormat="1" applyFont="1" applyFill="1" applyBorder="1" applyAlignment="1">
      <alignment horizontal="center" vertical="center"/>
    </xf>
    <xf numFmtId="178" fontId="33" fillId="0" borderId="29" xfId="0" applyNumberFormat="1" applyFont="1" applyBorder="1" applyAlignment="1">
      <alignment horizontal="center" vertical="center"/>
    </xf>
    <xf numFmtId="0" fontId="33" fillId="0" borderId="0" xfId="0" applyNumberFormat="1" applyFont="1" applyAlignment="1">
      <alignment horizontal="center" vertical="center"/>
    </xf>
    <xf numFmtId="175" fontId="68" fillId="0" borderId="0" xfId="0" applyNumberFormat="1" applyFont="1" applyAlignment="1">
      <alignment horizontal="center" vertical="center"/>
    </xf>
    <xf numFmtId="175" fontId="68" fillId="0" borderId="0" xfId="0" applyNumberFormat="1" applyFont="1" applyFill="1" applyAlignment="1">
      <alignment horizontal="center" vertical="center"/>
    </xf>
    <xf numFmtId="174" fontId="19" fillId="5" borderId="1" xfId="0" applyNumberFormat="1" applyFont="1" applyFill="1" applyBorder="1" applyAlignment="1">
      <alignment horizontal="center"/>
    </xf>
    <xf numFmtId="174" fontId="33" fillId="4" borderId="1" xfId="0" applyNumberFormat="1" applyFont="1" applyFill="1" applyBorder="1" applyAlignment="1">
      <alignment horizontal="center" vertical="center"/>
    </xf>
    <xf numFmtId="0" fontId="28" fillId="3" borderId="0" xfId="0" applyFont="1" applyFill="1" applyBorder="1" applyAlignment="1" applyProtection="1">
      <alignment/>
      <protection locked="0"/>
    </xf>
    <xf numFmtId="0" fontId="28" fillId="3" borderId="30" xfId="0" applyFont="1" applyFill="1" applyBorder="1" applyAlignment="1" applyProtection="1">
      <alignment/>
      <protection locked="0"/>
    </xf>
    <xf numFmtId="0" fontId="28" fillId="3" borderId="1" xfId="0" applyFont="1" applyFill="1" applyBorder="1" applyAlignment="1" applyProtection="1">
      <alignment/>
      <protection locked="0"/>
    </xf>
    <xf numFmtId="0" fontId="28" fillId="10" borderId="0" xfId="0" applyFont="1" applyFill="1" applyBorder="1" applyAlignment="1" applyProtection="1">
      <alignment/>
      <protection locked="0"/>
    </xf>
    <xf numFmtId="0" fontId="28" fillId="10" borderId="30" xfId="0" applyFont="1" applyFill="1" applyBorder="1" applyAlignment="1" applyProtection="1">
      <alignment/>
      <protection locked="0"/>
    </xf>
    <xf numFmtId="0" fontId="28" fillId="10" borderId="1" xfId="0" applyFont="1" applyFill="1" applyBorder="1" applyAlignment="1" applyProtection="1">
      <alignment/>
      <protection locked="0"/>
    </xf>
    <xf numFmtId="0" fontId="28" fillId="7" borderId="1" xfId="0" applyFont="1" applyFill="1" applyBorder="1" applyAlignment="1" applyProtection="1">
      <alignment/>
      <protection locked="0"/>
    </xf>
    <xf numFmtId="0" fontId="28" fillId="7" borderId="1" xfId="0" applyFont="1" applyFill="1" applyBorder="1" applyAlignment="1" applyProtection="1">
      <alignment horizontal="center"/>
      <protection locked="0"/>
    </xf>
    <xf numFmtId="0" fontId="28" fillId="7" borderId="30" xfId="0" applyFont="1" applyFill="1" applyBorder="1" applyAlignment="1" applyProtection="1">
      <alignment/>
      <protection locked="0"/>
    </xf>
    <xf numFmtId="0" fontId="28" fillId="7" borderId="0" xfId="0" applyFont="1" applyFill="1" applyBorder="1" applyAlignment="1" applyProtection="1">
      <alignment/>
      <protection locked="0"/>
    </xf>
    <xf numFmtId="175" fontId="10" fillId="5" borderId="1" xfId="0" applyNumberFormat="1" applyFont="1" applyFill="1" applyBorder="1" applyAlignment="1" applyProtection="1">
      <alignment horizontal="center"/>
      <protection locked="0"/>
    </xf>
    <xf numFmtId="0" fontId="12" fillId="0" borderId="0" xfId="0" applyFont="1" applyAlignment="1">
      <alignment horizontal="left"/>
    </xf>
    <xf numFmtId="0" fontId="1" fillId="0" borderId="31" xfId="0" applyFont="1" applyBorder="1" applyAlignment="1">
      <alignment horizontal="center"/>
    </xf>
    <xf numFmtId="2" fontId="0" fillId="0" borderId="31" xfId="0" applyNumberFormat="1" applyFont="1" applyBorder="1" applyAlignment="1">
      <alignment horizontal="center"/>
    </xf>
    <xf numFmtId="175" fontId="3" fillId="0" borderId="0" xfId="0" applyNumberFormat="1" applyFont="1" applyAlignment="1">
      <alignment horizontal="center"/>
    </xf>
    <xf numFmtId="1" fontId="33" fillId="0" borderId="0" xfId="0" applyNumberFormat="1" applyFont="1" applyBorder="1" applyAlignment="1">
      <alignment horizontal="center" vertical="center"/>
    </xf>
    <xf numFmtId="1" fontId="69" fillId="0" borderId="0" xfId="0" applyNumberFormat="1" applyFont="1" applyFill="1" applyBorder="1" applyAlignment="1">
      <alignment horizontal="center" vertical="center"/>
    </xf>
    <xf numFmtId="175" fontId="33" fillId="0" borderId="0" xfId="0" applyNumberFormat="1" applyFont="1" applyFill="1" applyBorder="1" applyAlignment="1">
      <alignment horizontal="center" vertical="center"/>
    </xf>
    <xf numFmtId="178" fontId="33" fillId="0" borderId="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xf numFmtId="2" fontId="33" fillId="0" borderId="0" xfId="0" applyNumberFormat="1" applyFont="1" applyFill="1" applyBorder="1" applyAlignment="1">
      <alignment horizontal="center" vertical="center"/>
    </xf>
    <xf numFmtId="178" fontId="73" fillId="0" borderId="0" xfId="0" applyNumberFormat="1" applyFont="1" applyFill="1" applyBorder="1" applyAlignment="1">
      <alignment horizontal="center" vertical="center"/>
    </xf>
    <xf numFmtId="175" fontId="0" fillId="4" borderId="1" xfId="0" applyNumberFormat="1" applyFill="1" applyBorder="1" applyAlignment="1">
      <alignment horizontal="center"/>
    </xf>
    <xf numFmtId="175" fontId="33" fillId="4" borderId="1" xfId="0" applyNumberFormat="1" applyFont="1" applyFill="1" applyBorder="1" applyAlignment="1">
      <alignment horizontal="center" vertical="center"/>
    </xf>
    <xf numFmtId="178" fontId="33" fillId="0" borderId="32" xfId="0" applyNumberFormat="1" applyFont="1" applyBorder="1" applyAlignment="1">
      <alignment horizontal="center" vertical="center"/>
    </xf>
    <xf numFmtId="178" fontId="33" fillId="0" borderId="33" xfId="0" applyNumberFormat="1" applyFont="1" applyBorder="1" applyAlignment="1">
      <alignment horizontal="center" vertical="center"/>
    </xf>
    <xf numFmtId="2" fontId="33" fillId="4" borderId="34" xfId="0" applyNumberFormat="1" applyFont="1" applyFill="1" applyBorder="1" applyAlignment="1">
      <alignment horizontal="center" vertical="center"/>
    </xf>
    <xf numFmtId="178" fontId="33" fillId="0" borderId="35" xfId="0" applyNumberFormat="1" applyFont="1" applyBorder="1" applyAlignment="1">
      <alignment horizontal="center" vertical="center"/>
    </xf>
    <xf numFmtId="175" fontId="33" fillId="0" borderId="36" xfId="0" applyNumberFormat="1" applyFont="1" applyFill="1" applyBorder="1" applyAlignment="1">
      <alignment horizontal="right" vertical="center"/>
    </xf>
    <xf numFmtId="1" fontId="33" fillId="0" borderId="36" xfId="0" applyNumberFormat="1" applyFont="1" applyBorder="1" applyAlignment="1">
      <alignment horizontal="center" vertical="center"/>
    </xf>
    <xf numFmtId="178" fontId="33" fillId="0" borderId="36" xfId="0" applyNumberFormat="1" applyFont="1" applyBorder="1" applyAlignment="1">
      <alignment horizontal="center" vertical="center"/>
    </xf>
    <xf numFmtId="178" fontId="33" fillId="0" borderId="37" xfId="0" applyNumberFormat="1" applyFont="1" applyBorder="1" applyAlignment="1">
      <alignment horizontal="center" vertical="center"/>
    </xf>
    <xf numFmtId="1" fontId="69" fillId="0" borderId="38" xfId="0" applyNumberFormat="1" applyFont="1" applyBorder="1" applyAlignment="1">
      <alignment horizontal="center" vertical="center"/>
    </xf>
    <xf numFmtId="1" fontId="69" fillId="0" borderId="36" xfId="0" applyNumberFormat="1" applyFont="1" applyBorder="1" applyAlignment="1">
      <alignment horizontal="center" vertical="center"/>
    </xf>
    <xf numFmtId="178" fontId="73" fillId="0" borderId="39" xfId="0" applyNumberFormat="1" applyFont="1" applyBorder="1" applyAlignment="1">
      <alignment horizontal="center" vertical="center"/>
    </xf>
    <xf numFmtId="175" fontId="33" fillId="4" borderId="40" xfId="0" applyNumberFormat="1" applyFont="1" applyFill="1" applyBorder="1" applyAlignment="1">
      <alignment horizontal="center" vertical="center"/>
    </xf>
    <xf numFmtId="178" fontId="33" fillId="0" borderId="41" xfId="0" applyNumberFormat="1" applyFont="1" applyBorder="1" applyAlignment="1">
      <alignment horizontal="center" vertical="center"/>
    </xf>
    <xf numFmtId="178" fontId="33" fillId="0" borderId="42" xfId="0" applyNumberFormat="1" applyFont="1" applyBorder="1" applyAlignment="1">
      <alignment horizontal="center" vertical="center"/>
    </xf>
    <xf numFmtId="174" fontId="71" fillId="0" borderId="43" xfId="0" applyNumberFormat="1" applyFont="1" applyFill="1" applyBorder="1" applyAlignment="1">
      <alignment horizontal="left" vertical="center"/>
    </xf>
    <xf numFmtId="0" fontId="59" fillId="5" borderId="1"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58" fillId="0" borderId="0" xfId="0" applyFont="1" applyBorder="1" applyAlignment="1" applyProtection="1">
      <alignment horizontal="right"/>
      <protection/>
    </xf>
    <xf numFmtId="0" fontId="59" fillId="5" borderId="15" xfId="0" applyFont="1" applyFill="1" applyBorder="1" applyAlignment="1" applyProtection="1">
      <alignment horizontal="center"/>
      <protection/>
    </xf>
    <xf numFmtId="0" fontId="57" fillId="0" borderId="5" xfId="0" applyFont="1" applyFill="1" applyBorder="1" applyAlignment="1" applyProtection="1">
      <alignment horizontal="right" vertical="top"/>
      <protection/>
    </xf>
    <xf numFmtId="174" fontId="59" fillId="5" borderId="20" xfId="0" applyNumberFormat="1" applyFont="1" applyFill="1" applyBorder="1" applyAlignment="1" applyProtection="1">
      <alignment horizontal="center"/>
      <protection/>
    </xf>
    <xf numFmtId="0" fontId="10" fillId="0" borderId="0" xfId="0" applyFont="1" applyFill="1" applyAlignment="1" applyProtection="1">
      <alignment horizontal="center"/>
      <protection/>
    </xf>
    <xf numFmtId="0" fontId="57" fillId="0" borderId="0" xfId="0" applyFont="1" applyFill="1" applyAlignment="1" applyProtection="1">
      <alignment horizontal="right" vertical="top"/>
      <protection/>
    </xf>
    <xf numFmtId="0" fontId="67" fillId="0" borderId="0" xfId="0" applyFont="1" applyAlignment="1" applyProtection="1">
      <alignment horizontal="right"/>
      <protection/>
    </xf>
    <xf numFmtId="174" fontId="19" fillId="5" borderId="16" xfId="0" applyNumberFormat="1" applyFont="1" applyFill="1" applyBorder="1" applyAlignment="1" applyProtection="1">
      <alignment horizontal="center"/>
      <protection/>
    </xf>
    <xf numFmtId="0" fontId="19" fillId="0" borderId="0" xfId="0" applyFont="1" applyAlignment="1" applyProtection="1">
      <alignment horizontal="right"/>
      <protection/>
    </xf>
    <xf numFmtId="0" fontId="1" fillId="5" borderId="16" xfId="0" applyFont="1" applyFill="1" applyBorder="1" applyAlignment="1" applyProtection="1">
      <alignment horizontal="center"/>
      <protection/>
    </xf>
    <xf numFmtId="0" fontId="1" fillId="0" borderId="0" xfId="0" applyFont="1" applyAlignment="1" applyProtection="1">
      <alignment horizontal="center"/>
      <protection/>
    </xf>
    <xf numFmtId="174" fontId="1" fillId="5" borderId="16" xfId="0" applyNumberFormat="1" applyFont="1" applyFill="1" applyBorder="1" applyAlignment="1" applyProtection="1">
      <alignment horizontal="center"/>
      <protection/>
    </xf>
    <xf numFmtId="0" fontId="9" fillId="0" borderId="0" xfId="0" applyFont="1" applyAlignment="1" applyProtection="1">
      <alignment horizontal="right"/>
      <protection/>
    </xf>
    <xf numFmtId="2" fontId="1" fillId="4" borderId="16" xfId="0" applyNumberFormat="1" applyFont="1" applyFill="1" applyBorder="1" applyAlignment="1" applyProtection="1">
      <alignment horizontal="center"/>
      <protection/>
    </xf>
    <xf numFmtId="0" fontId="14" fillId="0" borderId="0" xfId="0" applyFont="1" applyAlignment="1" applyProtection="1">
      <alignment/>
      <protection/>
    </xf>
    <xf numFmtId="0" fontId="58" fillId="0" borderId="0" xfId="0" applyFont="1" applyAlignment="1" applyProtection="1">
      <alignment horizontal="right"/>
      <protection/>
    </xf>
    <xf numFmtId="0" fontId="57" fillId="0" borderId="0" xfId="0" applyFont="1" applyAlignment="1" applyProtection="1">
      <alignment/>
      <protection/>
    </xf>
    <xf numFmtId="0" fontId="29" fillId="0" borderId="0" xfId="0" applyFont="1" applyAlignment="1" applyProtection="1">
      <alignment horizontal="right"/>
      <protection/>
    </xf>
    <xf numFmtId="2" fontId="1" fillId="5" borderId="16" xfId="0" applyNumberFormat="1" applyFont="1" applyFill="1" applyBorder="1" applyAlignment="1" applyProtection="1">
      <alignment horizontal="center"/>
      <protection/>
    </xf>
    <xf numFmtId="2" fontId="16" fillId="5" borderId="16" xfId="0" applyNumberFormat="1" applyFont="1" applyFill="1" applyBorder="1" applyAlignment="1" applyProtection="1">
      <alignment horizontal="center"/>
      <protection/>
    </xf>
    <xf numFmtId="1" fontId="16" fillId="5" borderId="16" xfId="0" applyNumberFormat="1" applyFont="1" applyFill="1" applyBorder="1" applyAlignment="1" applyProtection="1">
      <alignment horizontal="center"/>
      <protection/>
    </xf>
    <xf numFmtId="0" fontId="80" fillId="0" borderId="0" xfId="0" applyFont="1" applyAlignment="1" applyProtection="1">
      <alignment/>
      <protection/>
    </xf>
    <xf numFmtId="0" fontId="81" fillId="0" borderId="0" xfId="0" applyFont="1" applyAlignment="1" applyProtection="1">
      <alignment horizontal="right"/>
      <protection/>
    </xf>
    <xf numFmtId="0" fontId="16" fillId="0" borderId="0" xfId="0" applyFont="1" applyAlignment="1" applyProtection="1">
      <alignment horizontal="center"/>
      <protection/>
    </xf>
    <xf numFmtId="0" fontId="17" fillId="0" borderId="0" xfId="0" applyFont="1" applyAlignment="1" applyProtection="1">
      <alignment/>
      <protection/>
    </xf>
    <xf numFmtId="2" fontId="33" fillId="5" borderId="22" xfId="0" applyNumberFormat="1" applyFont="1" applyFill="1" applyBorder="1" applyAlignment="1">
      <alignment horizontal="left" vertical="center"/>
    </xf>
    <xf numFmtId="49" fontId="70" fillId="5" borderId="1" xfId="0" applyNumberFormat="1" applyFont="1" applyFill="1" applyBorder="1" applyAlignment="1">
      <alignment horizontal="center" vertical="center"/>
    </xf>
    <xf numFmtId="0" fontId="25" fillId="0" borderId="0" xfId="0" applyFont="1" applyAlignment="1" applyProtection="1">
      <alignment horizontal="center" vertical="center"/>
      <protection/>
    </xf>
    <xf numFmtId="0" fontId="26" fillId="0" borderId="0" xfId="0" applyFont="1" applyAlignment="1" applyProtection="1">
      <alignment/>
      <protection/>
    </xf>
    <xf numFmtId="0" fontId="27" fillId="0" borderId="0" xfId="0" applyFont="1" applyAlignment="1" applyProtection="1">
      <alignment/>
      <protection/>
    </xf>
    <xf numFmtId="0" fontId="27" fillId="0" borderId="30" xfId="0" applyFont="1" applyBorder="1" applyAlignment="1" applyProtection="1">
      <alignment/>
      <protection/>
    </xf>
    <xf numFmtId="0" fontId="56" fillId="0" borderId="0" xfId="0" applyFont="1" applyAlignment="1" applyProtection="1">
      <alignment/>
      <protection/>
    </xf>
    <xf numFmtId="0" fontId="55" fillId="0" borderId="0" xfId="0" applyFont="1" applyAlignment="1" applyProtection="1">
      <alignment/>
      <protection/>
    </xf>
    <xf numFmtId="0" fontId="55" fillId="0" borderId="0" xfId="0" applyFont="1" applyBorder="1" applyAlignment="1" applyProtection="1">
      <alignment/>
      <protection/>
    </xf>
    <xf numFmtId="0" fontId="0" fillId="0" borderId="30" xfId="0" applyBorder="1" applyAlignment="1" applyProtection="1">
      <alignment/>
      <protection/>
    </xf>
    <xf numFmtId="0" fontId="17" fillId="0" borderId="0" xfId="0" applyFont="1" applyFill="1" applyAlignment="1" applyProtection="1">
      <alignment/>
      <protection/>
    </xf>
    <xf numFmtId="0" fontId="15" fillId="0" borderId="0" xfId="0" applyFont="1" applyAlignment="1" applyProtection="1">
      <alignment horizontal="right"/>
      <protection/>
    </xf>
    <xf numFmtId="0" fontId="28" fillId="0" borderId="0" xfId="0" applyFont="1" applyBorder="1" applyAlignment="1" applyProtection="1">
      <alignment/>
      <protection/>
    </xf>
    <xf numFmtId="0" fontId="28" fillId="0" borderId="30" xfId="0" applyFont="1" applyBorder="1" applyAlignment="1" applyProtection="1">
      <alignment/>
      <protection/>
    </xf>
    <xf numFmtId="0" fontId="28" fillId="0" borderId="44" xfId="0" applyFont="1" applyBorder="1" applyAlignment="1" applyProtection="1">
      <alignment/>
      <protection/>
    </xf>
    <xf numFmtId="0" fontId="28" fillId="0" borderId="29" xfId="0" applyFont="1" applyBorder="1" applyAlignment="1" applyProtection="1">
      <alignment/>
      <protection/>
    </xf>
    <xf numFmtId="0" fontId="28" fillId="0" borderId="13" xfId="0" applyFont="1" applyBorder="1" applyAlignment="1" applyProtection="1">
      <alignment/>
      <protection/>
    </xf>
    <xf numFmtId="0" fontId="64" fillId="0" borderId="0" xfId="0" applyFont="1" applyAlignment="1" applyProtection="1">
      <alignment vertical="center"/>
      <protection/>
    </xf>
    <xf numFmtId="0" fontId="28" fillId="0" borderId="14" xfId="0" applyFont="1" applyBorder="1" applyAlignment="1" applyProtection="1">
      <alignment/>
      <protection/>
    </xf>
    <xf numFmtId="0" fontId="28" fillId="0" borderId="0" xfId="0" applyFont="1" applyFill="1" applyBorder="1" applyAlignment="1" applyProtection="1">
      <alignment/>
      <protection/>
    </xf>
    <xf numFmtId="0" fontId="28" fillId="0" borderId="30" xfId="0" applyFont="1" applyFill="1" applyBorder="1" applyAlignment="1" applyProtection="1">
      <alignment/>
      <protection/>
    </xf>
    <xf numFmtId="0" fontId="28" fillId="0" borderId="44" xfId="0" applyFont="1" applyFill="1" applyBorder="1" applyAlignment="1" applyProtection="1">
      <alignment/>
      <protection/>
    </xf>
    <xf numFmtId="0" fontId="28" fillId="0" borderId="45" xfId="0" applyFont="1" applyBorder="1" applyAlignment="1" applyProtection="1">
      <alignment/>
      <protection/>
    </xf>
    <xf numFmtId="0" fontId="64" fillId="0" borderId="0" xfId="0" applyFont="1" applyAlignment="1" applyProtection="1">
      <alignment horizontal="left" vertical="center"/>
      <protection/>
    </xf>
    <xf numFmtId="0" fontId="28" fillId="0" borderId="46" xfId="0" applyFont="1" applyFill="1" applyBorder="1" applyAlignment="1" applyProtection="1">
      <alignment/>
      <protection/>
    </xf>
    <xf numFmtId="0" fontId="28" fillId="0" borderId="10" xfId="0" applyFont="1" applyFill="1" applyBorder="1" applyAlignment="1" applyProtection="1">
      <alignment/>
      <protection/>
    </xf>
    <xf numFmtId="0" fontId="28" fillId="0" borderId="45" xfId="0" applyFont="1" applyFill="1" applyBorder="1" applyAlignment="1" applyProtection="1">
      <alignment/>
      <protection/>
    </xf>
    <xf numFmtId="0" fontId="61" fillId="7" borderId="0" xfId="0" applyFont="1" applyFill="1" applyAlignment="1" applyProtection="1">
      <alignment horizontal="right" vertical="center"/>
      <protection/>
    </xf>
    <xf numFmtId="0" fontId="28" fillId="0" borderId="47" xfId="0" applyFont="1" applyFill="1" applyBorder="1" applyAlignment="1" applyProtection="1">
      <alignment/>
      <protection/>
    </xf>
    <xf numFmtId="0" fontId="28" fillId="7" borderId="45" xfId="0" applyFont="1" applyFill="1" applyBorder="1" applyAlignment="1" applyProtection="1">
      <alignment/>
      <protection/>
    </xf>
    <xf numFmtId="0" fontId="77" fillId="0" borderId="0" xfId="0" applyFont="1" applyAlignment="1" applyProtection="1">
      <alignment horizontal="left"/>
      <protection/>
    </xf>
    <xf numFmtId="0" fontId="26" fillId="10" borderId="0" xfId="0" applyFont="1" applyFill="1" applyAlignment="1" applyProtection="1">
      <alignment horizontal="right" vertical="center"/>
      <protection/>
    </xf>
    <xf numFmtId="0" fontId="28" fillId="10" borderId="47" xfId="0" applyFont="1" applyFill="1" applyBorder="1" applyAlignment="1" applyProtection="1">
      <alignment/>
      <protection/>
    </xf>
    <xf numFmtId="0" fontId="28" fillId="10" borderId="45" xfId="0" applyFont="1" applyFill="1" applyBorder="1" applyAlignment="1" applyProtection="1">
      <alignment/>
      <protection/>
    </xf>
    <xf numFmtId="0" fontId="76" fillId="3" borderId="0" xfId="0" applyFont="1" applyFill="1" applyAlignment="1" applyProtection="1">
      <alignment horizontal="right"/>
      <protection/>
    </xf>
    <xf numFmtId="0" fontId="28" fillId="3" borderId="47" xfId="0" applyFont="1" applyFill="1" applyBorder="1" applyAlignment="1" applyProtection="1">
      <alignment/>
      <protection/>
    </xf>
    <xf numFmtId="0" fontId="28" fillId="3" borderId="45" xfId="0" applyFont="1" applyFill="1" applyBorder="1" applyAlignment="1" applyProtection="1">
      <alignment/>
      <protection/>
    </xf>
    <xf numFmtId="0" fontId="28" fillId="0" borderId="48" xfId="0" applyFont="1" applyFill="1" applyBorder="1" applyAlignment="1" applyProtection="1">
      <alignment/>
      <protection/>
    </xf>
    <xf numFmtId="0" fontId="28" fillId="0" borderId="13" xfId="0" applyFont="1" applyFill="1" applyBorder="1" applyAlignment="1" applyProtection="1">
      <alignment/>
      <protection/>
    </xf>
    <xf numFmtId="0" fontId="28" fillId="0" borderId="49" xfId="0" applyFont="1" applyFill="1" applyBorder="1" applyAlignment="1" applyProtection="1">
      <alignment/>
      <protection/>
    </xf>
    <xf numFmtId="0" fontId="28" fillId="0" borderId="50" xfId="0" applyFont="1" applyFill="1" applyBorder="1" applyAlignment="1" applyProtection="1">
      <alignment/>
      <protection/>
    </xf>
    <xf numFmtId="0" fontId="28" fillId="0" borderId="51" xfId="0" applyFont="1" applyFill="1" applyBorder="1" applyAlignment="1" applyProtection="1">
      <alignment/>
      <protection/>
    </xf>
    <xf numFmtId="0" fontId="29" fillId="0" borderId="0" xfId="0" applyFont="1" applyAlignment="1" applyProtection="1">
      <alignment/>
      <protection/>
    </xf>
    <xf numFmtId="0" fontId="30" fillId="0" borderId="0" xfId="0" applyFont="1" applyBorder="1" applyAlignment="1" applyProtection="1">
      <alignment horizontal="center"/>
      <protection/>
    </xf>
    <xf numFmtId="0" fontId="17" fillId="0" borderId="0" xfId="0" applyFont="1" applyAlignment="1" applyProtection="1">
      <alignment horizontal="left"/>
      <protection/>
    </xf>
    <xf numFmtId="0" fontId="1" fillId="5" borderId="1" xfId="0" applyFont="1" applyFill="1" applyBorder="1" applyAlignment="1" applyProtection="1">
      <alignment horizontal="right"/>
      <protection/>
    </xf>
    <xf numFmtId="0" fontId="0" fillId="0" borderId="0" xfId="0" applyAlignment="1" applyProtection="1">
      <alignment horizontal="left"/>
      <protection/>
    </xf>
    <xf numFmtId="0" fontId="1" fillId="0" borderId="0" xfId="0" applyFont="1" applyAlignment="1" applyProtection="1">
      <alignment horizontal="right"/>
      <protection/>
    </xf>
    <xf numFmtId="0" fontId="15" fillId="0" borderId="0" xfId="0" applyFont="1" applyAlignment="1" applyProtection="1">
      <alignment/>
      <protection/>
    </xf>
    <xf numFmtId="0" fontId="0" fillId="5" borderId="1" xfId="0" applyFill="1" applyBorder="1" applyAlignment="1" applyProtection="1">
      <alignment horizontal="right"/>
      <protection/>
    </xf>
    <xf numFmtId="0" fontId="1" fillId="0" borderId="0" xfId="0" applyFont="1" applyAlignment="1" applyProtection="1">
      <alignment horizontal="left"/>
      <protection/>
    </xf>
    <xf numFmtId="175" fontId="10" fillId="0" borderId="0" xfId="0" applyNumberFormat="1" applyFont="1" applyBorder="1" applyAlignment="1" applyProtection="1">
      <alignment horizontal="center"/>
      <protection/>
    </xf>
    <xf numFmtId="175" fontId="10" fillId="5" borderId="1" xfId="0" applyNumberFormat="1" applyFont="1" applyFill="1" applyBorder="1" applyAlignment="1" applyProtection="1">
      <alignment horizontal="center"/>
      <protection/>
    </xf>
    <xf numFmtId="175" fontId="10" fillId="0" borderId="0" xfId="0" applyNumberFormat="1" applyFont="1" applyFill="1" applyBorder="1" applyAlignment="1" applyProtection="1">
      <alignment horizontal="center"/>
      <protection/>
    </xf>
    <xf numFmtId="175" fontId="10" fillId="0" borderId="0" xfId="0" applyNumberFormat="1" applyFont="1" applyFill="1" applyBorder="1" applyAlignment="1" applyProtection="1">
      <alignment horizontal="left"/>
      <protection/>
    </xf>
    <xf numFmtId="0" fontId="0" fillId="0" borderId="0" xfId="0" applyFill="1" applyBorder="1" applyAlignment="1" applyProtection="1">
      <alignment/>
      <protection/>
    </xf>
    <xf numFmtId="174" fontId="16" fillId="5" borderId="1" xfId="0" applyNumberFormat="1" applyFont="1" applyFill="1" applyBorder="1" applyAlignment="1" applyProtection="1">
      <alignment horizontal="center"/>
      <protection/>
    </xf>
    <xf numFmtId="174" fontId="16" fillId="0" borderId="0" xfId="0" applyNumberFormat="1" applyFont="1" applyFill="1" applyBorder="1" applyAlignment="1" applyProtection="1">
      <alignment horizontal="center"/>
      <protection/>
    </xf>
    <xf numFmtId="0" fontId="28" fillId="11" borderId="1" xfId="0" applyFont="1" applyFill="1" applyBorder="1" applyAlignment="1" applyProtection="1">
      <alignment/>
      <protection locked="0"/>
    </xf>
    <xf numFmtId="0" fontId="87" fillId="0" borderId="1" xfId="27" applyFont="1" applyBorder="1" applyAlignment="1">
      <alignment horizontal="left"/>
    </xf>
    <xf numFmtId="0" fontId="13" fillId="0" borderId="0" xfId="0" applyFont="1" applyBorder="1" applyAlignment="1" applyProtection="1">
      <alignment horizontal="center"/>
      <protection/>
    </xf>
    <xf numFmtId="49" fontId="88" fillId="9" borderId="1" xfId="0" applyNumberFormat="1" applyFont="1" applyFill="1" applyBorder="1" applyAlignment="1">
      <alignment horizontal="center" vertical="center"/>
    </xf>
    <xf numFmtId="1" fontId="33" fillId="0" borderId="43" xfId="0" applyNumberFormat="1" applyFont="1" applyBorder="1" applyAlignment="1">
      <alignment horizontal="center" vertical="center"/>
    </xf>
    <xf numFmtId="175" fontId="33" fillId="5" borderId="52" xfId="0" applyNumberFormat="1" applyFont="1" applyFill="1" applyBorder="1" applyAlignment="1">
      <alignment horizontal="center" vertical="center"/>
    </xf>
    <xf numFmtId="173" fontId="33" fillId="4" borderId="40" xfId="0" applyNumberFormat="1" applyFont="1" applyFill="1" applyBorder="1" applyAlignment="1">
      <alignment horizontal="center" vertical="center"/>
    </xf>
    <xf numFmtId="175" fontId="33" fillId="4" borderId="53" xfId="0" applyNumberFormat="1" applyFont="1" applyFill="1" applyBorder="1" applyAlignment="1">
      <alignment horizontal="center" vertical="center"/>
    </xf>
    <xf numFmtId="1" fontId="33" fillId="3" borderId="52" xfId="0" applyNumberFormat="1" applyFont="1" applyFill="1" applyBorder="1" applyAlignment="1">
      <alignment horizontal="center" vertical="center"/>
    </xf>
    <xf numFmtId="1" fontId="33" fillId="3" borderId="54" xfId="0" applyNumberFormat="1" applyFont="1" applyFill="1" applyBorder="1" applyAlignment="1">
      <alignment horizontal="center" vertical="center"/>
    </xf>
    <xf numFmtId="1" fontId="33" fillId="0" borderId="33" xfId="0" applyNumberFormat="1" applyFont="1" applyBorder="1" applyAlignment="1">
      <alignment horizontal="center" vertical="center"/>
    </xf>
    <xf numFmtId="1" fontId="33" fillId="0" borderId="35" xfId="0" applyNumberFormat="1" applyFont="1" applyBorder="1" applyAlignment="1">
      <alignment horizontal="center" vertical="center"/>
    </xf>
    <xf numFmtId="178" fontId="33" fillId="0" borderId="39" xfId="0" applyNumberFormat="1" applyFont="1" applyBorder="1" applyAlignment="1">
      <alignment horizontal="center" vertical="center"/>
    </xf>
    <xf numFmtId="178" fontId="33" fillId="5" borderId="40" xfId="0" applyNumberFormat="1" applyFont="1" applyFill="1" applyBorder="1" applyAlignment="1">
      <alignment horizontal="center" vertical="center"/>
    </xf>
    <xf numFmtId="178" fontId="33" fillId="5" borderId="55" xfId="0" applyNumberFormat="1" applyFont="1" applyFill="1" applyBorder="1" applyAlignment="1">
      <alignment horizontal="center" vertical="center"/>
    </xf>
    <xf numFmtId="175" fontId="34" fillId="0" borderId="0" xfId="0" applyNumberFormat="1" applyFont="1" applyAlignment="1">
      <alignment horizontal="center" vertical="center"/>
    </xf>
    <xf numFmtId="175" fontId="17" fillId="4" borderId="1" xfId="0" applyNumberFormat="1" applyFont="1" applyFill="1" applyBorder="1" applyAlignment="1" applyProtection="1">
      <alignment horizontal="center"/>
      <protection locked="0"/>
    </xf>
    <xf numFmtId="175" fontId="17" fillId="0" borderId="0" xfId="0" applyNumberFormat="1" applyFont="1" applyFill="1" applyBorder="1" applyAlignment="1" applyProtection="1">
      <alignment horizontal="center"/>
      <protection locked="0"/>
    </xf>
    <xf numFmtId="0" fontId="22" fillId="0" borderId="0" xfId="0" applyFont="1" applyAlignment="1" applyProtection="1">
      <alignment horizontal="right"/>
      <protection/>
    </xf>
    <xf numFmtId="0" fontId="34" fillId="0" borderId="0" xfId="0" applyFont="1" applyAlignment="1" applyProtection="1">
      <alignment horizontal="right"/>
      <protection/>
    </xf>
    <xf numFmtId="0" fontId="89" fillId="0" borderId="0" xfId="0" applyFont="1" applyAlignment="1" applyProtection="1">
      <alignment/>
      <protection/>
    </xf>
    <xf numFmtId="1" fontId="1" fillId="4" borderId="1" xfId="0" applyNumberFormat="1" applyFont="1" applyFill="1" applyBorder="1" applyAlignment="1">
      <alignment horizontal="center"/>
    </xf>
    <xf numFmtId="175" fontId="0" fillId="4" borderId="1" xfId="0" applyNumberFormat="1" applyFill="1" applyBorder="1" applyAlignment="1">
      <alignment horizontal="left"/>
    </xf>
    <xf numFmtId="175" fontId="9" fillId="5" borderId="16" xfId="0" applyNumberFormat="1" applyFont="1" applyFill="1" applyBorder="1" applyAlignment="1">
      <alignment horizontal="center"/>
    </xf>
    <xf numFmtId="175" fontId="1" fillId="5" borderId="56" xfId="0" applyNumberFormat="1" applyFont="1" applyFill="1" applyBorder="1" applyAlignment="1">
      <alignment horizontal="center"/>
    </xf>
    <xf numFmtId="175" fontId="16" fillId="5" borderId="1" xfId="0" applyNumberFormat="1" applyFont="1" applyFill="1" applyBorder="1" applyAlignment="1">
      <alignment horizontal="center"/>
    </xf>
    <xf numFmtId="175" fontId="16" fillId="5" borderId="56" xfId="0" applyNumberFormat="1" applyFont="1" applyFill="1" applyBorder="1" applyAlignment="1">
      <alignment horizontal="center"/>
    </xf>
    <xf numFmtId="2" fontId="1" fillId="5" borderId="1" xfId="0" applyNumberFormat="1" applyFont="1" applyFill="1" applyBorder="1" applyAlignment="1" applyProtection="1">
      <alignment horizontal="center"/>
      <protection/>
    </xf>
    <xf numFmtId="2" fontId="33" fillId="4" borderId="1" xfId="0" applyNumberFormat="1" applyFont="1" applyFill="1" applyBorder="1" applyAlignment="1">
      <alignment horizontal="center" vertical="center"/>
    </xf>
    <xf numFmtId="1" fontId="33" fillId="0" borderId="1" xfId="0" applyNumberFormat="1" applyFont="1" applyBorder="1" applyAlignment="1">
      <alignment horizontal="center" vertical="center"/>
    </xf>
    <xf numFmtId="2" fontId="33" fillId="0" borderId="1" xfId="0" applyNumberFormat="1" applyFont="1" applyBorder="1" applyAlignment="1">
      <alignment horizontal="center" vertical="center"/>
    </xf>
    <xf numFmtId="175" fontId="33" fillId="0" borderId="1" xfId="0" applyNumberFormat="1" applyFont="1" applyBorder="1" applyAlignment="1">
      <alignment horizontal="center" vertical="center"/>
    </xf>
    <xf numFmtId="174" fontId="33" fillId="0" borderId="1" xfId="0" applyNumberFormat="1" applyFont="1" applyBorder="1" applyAlignment="1">
      <alignment horizontal="center" vertical="center"/>
    </xf>
    <xf numFmtId="0" fontId="33" fillId="5" borderId="1" xfId="0" applyNumberFormat="1" applyFont="1" applyFill="1" applyBorder="1" applyAlignment="1">
      <alignment horizontal="right" vertical="center"/>
    </xf>
    <xf numFmtId="175" fontId="33" fillId="5" borderId="22" xfId="0" applyNumberFormat="1" applyFont="1" applyFill="1" applyBorder="1" applyAlignment="1">
      <alignment horizontal="left" vertical="center"/>
    </xf>
    <xf numFmtId="178" fontId="33" fillId="4" borderId="15" xfId="0" applyNumberFormat="1" applyFont="1" applyFill="1" applyBorder="1" applyAlignment="1">
      <alignment horizontal="center" vertical="center"/>
    </xf>
    <xf numFmtId="0" fontId="33" fillId="5" borderId="1" xfId="0" applyNumberFormat="1" applyFont="1" applyFill="1" applyBorder="1" applyAlignment="1">
      <alignment horizontal="left" vertical="center"/>
    </xf>
    <xf numFmtId="174" fontId="33" fillId="0" borderId="0" xfId="0" applyNumberFormat="1" applyFont="1" applyFill="1" applyBorder="1" applyAlignment="1">
      <alignment horizontal="center" vertical="center"/>
    </xf>
    <xf numFmtId="173" fontId="33" fillId="0" borderId="0" xfId="0" applyNumberFormat="1" applyFont="1" applyFill="1" applyBorder="1" applyAlignment="1">
      <alignment horizontal="center" vertical="center"/>
    </xf>
    <xf numFmtId="178" fontId="33" fillId="0" borderId="10" xfId="0" applyNumberFormat="1" applyFont="1" applyBorder="1" applyAlignment="1">
      <alignment horizontal="center" vertical="center"/>
    </xf>
    <xf numFmtId="174" fontId="71" fillId="0" borderId="57" xfId="0" applyNumberFormat="1" applyFont="1" applyFill="1" applyBorder="1" applyAlignment="1">
      <alignment horizontal="center" vertical="center"/>
    </xf>
    <xf numFmtId="175" fontId="33" fillId="0" borderId="58" xfId="0" applyNumberFormat="1" applyFont="1" applyBorder="1" applyAlignment="1">
      <alignment horizontal="center" vertical="center"/>
    </xf>
    <xf numFmtId="175" fontId="33" fillId="0" borderId="59" xfId="0" applyNumberFormat="1" applyFont="1" applyBorder="1" applyAlignment="1">
      <alignment horizontal="center" vertical="center"/>
    </xf>
    <xf numFmtId="175" fontId="33" fillId="0" borderId="60" xfId="0" applyNumberFormat="1" applyFont="1" applyBorder="1" applyAlignment="1">
      <alignment horizontal="center" vertical="center"/>
    </xf>
    <xf numFmtId="1" fontId="33" fillId="0" borderId="61" xfId="0" applyNumberFormat="1" applyFont="1" applyBorder="1" applyAlignment="1">
      <alignment horizontal="center" vertical="center"/>
    </xf>
    <xf numFmtId="175" fontId="33" fillId="0" borderId="62" xfId="0" applyNumberFormat="1" applyFont="1" applyFill="1" applyBorder="1" applyAlignment="1">
      <alignment horizontal="right" vertical="center"/>
    </xf>
    <xf numFmtId="1" fontId="33" fillId="0" borderId="62" xfId="0" applyNumberFormat="1" applyFont="1" applyBorder="1" applyAlignment="1">
      <alignment horizontal="center" vertical="center"/>
    </xf>
    <xf numFmtId="178" fontId="33" fillId="0" borderId="62" xfId="0" applyNumberFormat="1" applyFont="1" applyBorder="1" applyAlignment="1">
      <alignment horizontal="center" vertical="center"/>
    </xf>
    <xf numFmtId="178" fontId="33" fillId="0" borderId="61" xfId="0" applyNumberFormat="1" applyFont="1" applyBorder="1" applyAlignment="1">
      <alignment horizontal="center" vertical="center"/>
    </xf>
    <xf numFmtId="178" fontId="33" fillId="0" borderId="63" xfId="0" applyNumberFormat="1" applyFont="1" applyBorder="1" applyAlignment="1">
      <alignment horizontal="center" vertical="center"/>
    </xf>
    <xf numFmtId="178" fontId="33" fillId="0" borderId="62" xfId="0" applyNumberFormat="1" applyFont="1" applyFill="1" applyBorder="1" applyAlignment="1">
      <alignment horizontal="center" vertical="center"/>
    </xf>
    <xf numFmtId="178" fontId="33" fillId="0" borderId="64" xfId="0" applyNumberFormat="1" applyFont="1" applyBorder="1" applyAlignment="1">
      <alignment horizontal="center" vertical="center"/>
    </xf>
    <xf numFmtId="178" fontId="33" fillId="0" borderId="64" xfId="0" applyNumberFormat="1" applyFont="1" applyFill="1" applyBorder="1" applyAlignment="1">
      <alignment horizontal="center" vertical="center"/>
    </xf>
    <xf numFmtId="173" fontId="33" fillId="0" borderId="64" xfId="0" applyNumberFormat="1" applyFont="1" applyFill="1" applyBorder="1" applyAlignment="1">
      <alignment horizontal="center" vertical="center"/>
    </xf>
    <xf numFmtId="178" fontId="33" fillId="0" borderId="65" xfId="0" applyNumberFormat="1" applyFont="1" applyBorder="1" applyAlignment="1">
      <alignment horizontal="center" vertical="center"/>
    </xf>
    <xf numFmtId="175" fontId="69" fillId="0" borderId="0" xfId="0" applyNumberFormat="1" applyFont="1" applyAlignment="1">
      <alignment horizontal="center" vertical="center"/>
    </xf>
    <xf numFmtId="0" fontId="0" fillId="5" borderId="1" xfId="0" applyFont="1" applyFill="1" applyBorder="1" applyAlignment="1">
      <alignment horizontal="center"/>
    </xf>
    <xf numFmtId="175" fontId="17" fillId="5" borderId="1" xfId="0" applyNumberFormat="1" applyFont="1" applyFill="1" applyBorder="1" applyAlignment="1">
      <alignment horizontal="center"/>
    </xf>
    <xf numFmtId="2" fontId="33" fillId="4" borderId="66" xfId="0" applyNumberFormat="1" applyFont="1" applyFill="1" applyBorder="1" applyAlignment="1">
      <alignment horizontal="center" vertical="center"/>
    </xf>
    <xf numFmtId="178" fontId="33" fillId="0" borderId="67" xfId="0" applyNumberFormat="1" applyFont="1" applyBorder="1" applyAlignment="1">
      <alignment horizontal="center" vertical="center"/>
    </xf>
    <xf numFmtId="0" fontId="91" fillId="0" borderId="0" xfId="0" applyFont="1" applyFill="1" applyAlignment="1">
      <alignment horizontal="center"/>
    </xf>
    <xf numFmtId="0" fontId="91" fillId="0" borderId="0" xfId="0" applyFont="1" applyFill="1" applyAlignment="1">
      <alignment/>
    </xf>
    <xf numFmtId="2" fontId="0" fillId="2" borderId="1" xfId="0" applyNumberFormat="1" applyFont="1" applyFill="1" applyBorder="1" applyAlignment="1">
      <alignment/>
    </xf>
    <xf numFmtId="0" fontId="6" fillId="0" borderId="5" xfId="0" applyFont="1" applyBorder="1" applyAlignment="1">
      <alignment horizontal="center"/>
    </xf>
    <xf numFmtId="0" fontId="4" fillId="0" borderId="0" xfId="0" applyFont="1" applyBorder="1" applyAlignment="1">
      <alignment/>
    </xf>
    <xf numFmtId="0" fontId="0" fillId="0" borderId="0" xfId="0" applyFont="1" applyBorder="1" applyAlignment="1">
      <alignment/>
    </xf>
    <xf numFmtId="0" fontId="5" fillId="0" borderId="0" xfId="0" applyFont="1" applyBorder="1" applyAlignment="1">
      <alignment/>
    </xf>
    <xf numFmtId="0" fontId="6" fillId="0" borderId="0" xfId="0" applyFont="1" applyBorder="1" applyAlignment="1">
      <alignment horizontal="center"/>
    </xf>
    <xf numFmtId="0" fontId="1" fillId="0" borderId="5" xfId="0" applyFont="1" applyBorder="1" applyAlignment="1">
      <alignment horizontal="right"/>
    </xf>
    <xf numFmtId="215" fontId="0" fillId="0" borderId="7" xfId="0" applyNumberFormat="1" applyBorder="1" applyAlignment="1">
      <alignment horizontal="center"/>
    </xf>
    <xf numFmtId="174" fontId="0" fillId="2" borderId="1" xfId="0" applyNumberFormat="1" applyFill="1" applyBorder="1" applyAlignment="1">
      <alignment/>
    </xf>
    <xf numFmtId="0" fontId="7" fillId="0" borderId="1" xfId="0" applyFont="1" applyBorder="1" applyAlignment="1">
      <alignment/>
    </xf>
    <xf numFmtId="0" fontId="92" fillId="0" borderId="0" xfId="0" applyFont="1" applyFill="1" applyAlignment="1">
      <alignment/>
    </xf>
    <xf numFmtId="0" fontId="93" fillId="0" borderId="0" xfId="0" applyFont="1" applyFill="1" applyAlignment="1">
      <alignment/>
    </xf>
    <xf numFmtId="2" fontId="0" fillId="5" borderId="21" xfId="0" applyNumberFormat="1" applyFill="1" applyBorder="1" applyAlignment="1">
      <alignment horizontal="center"/>
    </xf>
    <xf numFmtId="2" fontId="0" fillId="5" borderId="19" xfId="0" applyNumberFormat="1" applyFill="1" applyBorder="1" applyAlignment="1">
      <alignment horizontal="center"/>
    </xf>
    <xf numFmtId="0" fontId="95" fillId="0" borderId="0" xfId="0" applyFont="1" applyAlignment="1" applyProtection="1">
      <alignment horizontal="center"/>
      <protection/>
    </xf>
    <xf numFmtId="0" fontId="1" fillId="3" borderId="1" xfId="0" applyFont="1" applyFill="1" applyBorder="1" applyAlignment="1">
      <alignment horizontal="center"/>
    </xf>
    <xf numFmtId="0" fontId="100" fillId="0" borderId="0" xfId="0" applyFont="1" applyAlignment="1">
      <alignment horizontal="right"/>
    </xf>
    <xf numFmtId="0" fontId="14" fillId="0" borderId="0" xfId="0" applyFont="1" applyAlignment="1">
      <alignment horizontal="center"/>
    </xf>
    <xf numFmtId="2" fontId="1" fillId="5" borderId="1" xfId="0" applyNumberFormat="1" applyFont="1" applyFill="1" applyBorder="1" applyAlignment="1">
      <alignment horizontal="center"/>
    </xf>
    <xf numFmtId="0" fontId="101" fillId="0" borderId="0" xfId="0" applyFont="1" applyFill="1" applyAlignment="1">
      <alignment horizontal="right"/>
    </xf>
    <xf numFmtId="2" fontId="1" fillId="5" borderId="68" xfId="0" applyNumberFormat="1" applyFont="1" applyFill="1" applyBorder="1" applyAlignment="1">
      <alignment horizontal="center"/>
    </xf>
    <xf numFmtId="0" fontId="1" fillId="5" borderId="69" xfId="0" applyFont="1" applyFill="1" applyBorder="1" applyAlignment="1">
      <alignment horizontal="center"/>
    </xf>
    <xf numFmtId="2" fontId="1" fillId="5" borderId="70" xfId="0" applyNumberFormat="1" applyFont="1" applyFill="1" applyBorder="1" applyAlignment="1">
      <alignment horizontal="center"/>
    </xf>
    <xf numFmtId="0" fontId="10" fillId="5" borderId="1" xfId="0" applyFont="1" applyFill="1" applyBorder="1" applyAlignment="1">
      <alignment/>
    </xf>
    <xf numFmtId="0" fontId="12" fillId="0" borderId="0" xfId="0" applyFont="1" applyAlignment="1">
      <alignment horizontal="right"/>
    </xf>
    <xf numFmtId="0" fontId="58" fillId="0" borderId="8" xfId="0" applyFont="1" applyBorder="1" applyAlignment="1">
      <alignment horizontal="center"/>
    </xf>
    <xf numFmtId="2" fontId="58" fillId="0" borderId="8" xfId="0" applyNumberFormat="1" applyFont="1" applyBorder="1" applyAlignment="1">
      <alignment horizontal="center"/>
    </xf>
    <xf numFmtId="0" fontId="45" fillId="0" borderId="0" xfId="0" applyFont="1" applyFill="1" applyAlignment="1">
      <alignment/>
    </xf>
    <xf numFmtId="0" fontId="102" fillId="0" borderId="0" xfId="0" applyFont="1" applyFill="1" applyAlignment="1">
      <alignment/>
    </xf>
    <xf numFmtId="0" fontId="103" fillId="0" borderId="0" xfId="0" applyFont="1" applyFill="1" applyAlignment="1">
      <alignment horizontal="center"/>
    </xf>
    <xf numFmtId="0" fontId="103" fillId="0" borderId="0" xfId="0" applyFont="1" applyFill="1" applyAlignment="1">
      <alignment horizontal="right"/>
    </xf>
    <xf numFmtId="0" fontId="104" fillId="0" borderId="0" xfId="0" applyFont="1" applyFill="1" applyAlignment="1">
      <alignment horizontal="right"/>
    </xf>
    <xf numFmtId="0" fontId="104" fillId="0" borderId="0" xfId="0" applyFont="1" applyAlignment="1">
      <alignment horizontal="right"/>
    </xf>
    <xf numFmtId="171" fontId="1" fillId="0" borderId="1" xfId="0" applyNumberFormat="1" applyFont="1" applyBorder="1" applyAlignment="1">
      <alignment/>
    </xf>
    <xf numFmtId="0" fontId="1" fillId="5" borderId="71" xfId="0" applyFont="1" applyFill="1" applyBorder="1" applyAlignment="1" applyProtection="1">
      <alignment horizontal="center"/>
      <protection/>
    </xf>
    <xf numFmtId="175" fontId="0" fillId="5" borderId="72" xfId="0" applyNumberFormat="1" applyFill="1" applyBorder="1" applyAlignment="1" applyProtection="1">
      <alignment horizontal="center"/>
      <protection/>
    </xf>
    <xf numFmtId="175" fontId="0" fillId="5" borderId="73" xfId="0" applyNumberFormat="1" applyFill="1" applyBorder="1" applyAlignment="1" applyProtection="1">
      <alignment horizontal="center"/>
      <protection/>
    </xf>
    <xf numFmtId="0" fontId="59" fillId="5" borderId="20" xfId="0" applyFont="1" applyFill="1" applyBorder="1" applyAlignment="1" applyProtection="1">
      <alignment horizontal="center"/>
      <protection/>
    </xf>
    <xf numFmtId="0" fontId="0" fillId="5" borderId="74" xfId="0" applyFill="1" applyBorder="1" applyAlignment="1" applyProtection="1">
      <alignment horizontal="center"/>
      <protection/>
    </xf>
    <xf numFmtId="0" fontId="0" fillId="5" borderId="73" xfId="0" applyFill="1" applyBorder="1" applyAlignment="1" applyProtection="1">
      <alignment horizontal="center"/>
      <protection/>
    </xf>
    <xf numFmtId="0" fontId="0" fillId="5" borderId="75" xfId="0" applyFill="1" applyBorder="1" applyAlignment="1" applyProtection="1">
      <alignment horizontal="center"/>
      <protection/>
    </xf>
    <xf numFmtId="0" fontId="16" fillId="12" borderId="76" xfId="0" applyFont="1" applyFill="1" applyBorder="1" applyAlignment="1" applyProtection="1">
      <alignment horizontal="center" vertical="center"/>
      <protection/>
    </xf>
    <xf numFmtId="0" fontId="16" fillId="12" borderId="77" xfId="0" applyFont="1" applyFill="1" applyBorder="1" applyAlignment="1" applyProtection="1">
      <alignment horizontal="center" vertical="center"/>
      <protection/>
    </xf>
    <xf numFmtId="0" fontId="16" fillId="12" borderId="78" xfId="0" applyFont="1" applyFill="1" applyBorder="1" applyAlignment="1" applyProtection="1">
      <alignment horizontal="center" vertical="center"/>
      <protection/>
    </xf>
    <xf numFmtId="0" fontId="23" fillId="5" borderId="71" xfId="0" applyFont="1" applyFill="1" applyBorder="1" applyAlignment="1" applyProtection="1">
      <alignment horizontal="center"/>
      <protection/>
    </xf>
    <xf numFmtId="0" fontId="23" fillId="5" borderId="79" xfId="0" applyFont="1" applyFill="1" applyBorder="1" applyAlignment="1" applyProtection="1">
      <alignment horizontal="center"/>
      <protection/>
    </xf>
    <xf numFmtId="0" fontId="9" fillId="5" borderId="71" xfId="0" applyFont="1" applyFill="1" applyBorder="1" applyAlignment="1" applyProtection="1">
      <alignment horizontal="center"/>
      <protection/>
    </xf>
    <xf numFmtId="0" fontId="1" fillId="0" borderId="0" xfId="0" applyFont="1" applyAlignment="1" applyProtection="1">
      <alignment/>
      <protection/>
    </xf>
    <xf numFmtId="0" fontId="1" fillId="0" borderId="0" xfId="0" applyFont="1" applyAlignment="1">
      <alignment horizontal="right"/>
    </xf>
    <xf numFmtId="0" fontId="2" fillId="5" borderId="1" xfId="0" applyFont="1" applyFill="1" applyBorder="1" applyAlignment="1">
      <alignment horizontal="center"/>
    </xf>
    <xf numFmtId="178" fontId="2" fillId="5" borderId="1" xfId="0" applyNumberFormat="1" applyFont="1" applyFill="1" applyBorder="1" applyAlignment="1">
      <alignment horizontal="center"/>
    </xf>
    <xf numFmtId="178" fontId="0" fillId="5" borderId="1" xfId="0" applyNumberFormat="1" applyFill="1" applyBorder="1" applyAlignment="1">
      <alignment horizontal="center"/>
    </xf>
    <xf numFmtId="0" fontId="5" fillId="0" borderId="0" xfId="0" applyFont="1" applyAlignment="1">
      <alignment horizontal="right"/>
    </xf>
    <xf numFmtId="0" fontId="107" fillId="0" borderId="1" xfId="0" applyFont="1" applyBorder="1" applyAlignment="1">
      <alignment/>
    </xf>
    <xf numFmtId="0" fontId="108" fillId="0" borderId="1" xfId="0" applyFont="1" applyBorder="1" applyAlignment="1">
      <alignment/>
    </xf>
    <xf numFmtId="0" fontId="10" fillId="0" borderId="1" xfId="0" applyFont="1" applyBorder="1" applyAlignment="1">
      <alignment/>
    </xf>
    <xf numFmtId="0" fontId="5" fillId="0" borderId="0" xfId="0" applyFont="1" applyAlignment="1">
      <alignment horizontal="right"/>
    </xf>
    <xf numFmtId="0" fontId="30" fillId="0" borderId="0" xfId="0" applyFont="1" applyAlignment="1">
      <alignment horizontal="right"/>
    </xf>
    <xf numFmtId="0" fontId="30" fillId="0" borderId="0" xfId="0" applyFont="1" applyFill="1" applyAlignment="1">
      <alignment horizontal="right"/>
    </xf>
    <xf numFmtId="0" fontId="1" fillId="0" borderId="0" xfId="0" applyFont="1" applyFill="1" applyAlignment="1">
      <alignment horizontal="right"/>
    </xf>
    <xf numFmtId="0" fontId="1" fillId="0" borderId="0" xfId="0" applyFont="1" applyFill="1" applyAlignment="1">
      <alignment horizontal="right"/>
    </xf>
    <xf numFmtId="178" fontId="0" fillId="0" borderId="1" xfId="0" applyNumberFormat="1" applyFill="1" applyBorder="1" applyAlignment="1">
      <alignment horizontal="center"/>
    </xf>
    <xf numFmtId="0" fontId="5" fillId="0" borderId="0" xfId="0" applyFont="1" applyFill="1" applyAlignment="1">
      <alignment horizontal="right"/>
    </xf>
    <xf numFmtId="174" fontId="0" fillId="0" borderId="1" xfId="0" applyNumberFormat="1" applyBorder="1" applyAlignment="1">
      <alignment horizontal="center"/>
    </xf>
    <xf numFmtId="1" fontId="0" fillId="0" borderId="1" xfId="0" applyNumberFormat="1" applyBorder="1" applyAlignment="1">
      <alignment horizontal="center"/>
    </xf>
    <xf numFmtId="1" fontId="0" fillId="0" borderId="2" xfId="0" applyNumberFormat="1" applyBorder="1" applyAlignment="1">
      <alignment horizontal="center"/>
    </xf>
    <xf numFmtId="0" fontId="1" fillId="0" borderId="15" xfId="0" applyFont="1" applyBorder="1" applyAlignment="1">
      <alignment horizontal="center"/>
    </xf>
    <xf numFmtId="0" fontId="117" fillId="0" borderId="2" xfId="0" applyFont="1" applyBorder="1" applyAlignment="1">
      <alignment horizontal="right"/>
    </xf>
    <xf numFmtId="0" fontId="117" fillId="0" borderId="80" xfId="0" applyFont="1" applyBorder="1" applyAlignment="1">
      <alignment horizontal="right"/>
    </xf>
    <xf numFmtId="0" fontId="0" fillId="0" borderId="80" xfId="0" applyBorder="1" applyAlignment="1">
      <alignment horizontal="center"/>
    </xf>
    <xf numFmtId="1" fontId="0" fillId="0" borderId="80" xfId="0" applyNumberFormat="1" applyBorder="1" applyAlignment="1">
      <alignment horizontal="center"/>
    </xf>
    <xf numFmtId="0" fontId="118" fillId="0" borderId="1" xfId="0" applyFont="1" applyBorder="1" applyAlignment="1">
      <alignment/>
    </xf>
    <xf numFmtId="0" fontId="7" fillId="0" borderId="0" xfId="0" applyFont="1" applyAlignment="1">
      <alignment horizontal="right"/>
    </xf>
    <xf numFmtId="0" fontId="119" fillId="0" borderId="0" xfId="0" applyFont="1" applyAlignment="1">
      <alignment horizontal="right"/>
    </xf>
    <xf numFmtId="0" fontId="117" fillId="0" borderId="0" xfId="0" applyFont="1" applyBorder="1" applyAlignment="1">
      <alignment horizontal="center"/>
    </xf>
    <xf numFmtId="1" fontId="0" fillId="0" borderId="0" xfId="0" applyNumberFormat="1" applyBorder="1" applyAlignment="1">
      <alignment horizontal="center"/>
    </xf>
    <xf numFmtId="0" fontId="117" fillId="0" borderId="0" xfId="0" applyFont="1" applyBorder="1" applyAlignment="1">
      <alignment horizontal="right"/>
    </xf>
    <xf numFmtId="0" fontId="117" fillId="0" borderId="0" xfId="0" applyFont="1" applyAlignment="1">
      <alignment horizontal="right"/>
    </xf>
    <xf numFmtId="174" fontId="0" fillId="0" borderId="2" xfId="0" applyNumberFormat="1" applyBorder="1" applyAlignment="1">
      <alignment horizontal="center"/>
    </xf>
    <xf numFmtId="0" fontId="7" fillId="0" borderId="0" xfId="0" applyFont="1" applyBorder="1" applyAlignment="1">
      <alignment/>
    </xf>
    <xf numFmtId="0" fontId="7" fillId="0" borderId="0" xfId="0" applyFont="1" applyAlignment="1">
      <alignment/>
    </xf>
    <xf numFmtId="178" fontId="0" fillId="0" borderId="1" xfId="0" applyNumberFormat="1" applyFont="1" applyFill="1" applyBorder="1" applyAlignment="1">
      <alignment horizontal="center"/>
    </xf>
    <xf numFmtId="0" fontId="45" fillId="0" borderId="0" xfId="0" applyFont="1" applyFill="1" applyAlignment="1">
      <alignment horizontal="right" vertical="center"/>
    </xf>
    <xf numFmtId="0" fontId="10" fillId="0" borderId="28" xfId="0" applyFont="1" applyBorder="1" applyAlignment="1">
      <alignment horizontal="right"/>
    </xf>
    <xf numFmtId="0" fontId="0" fillId="0" borderId="81" xfId="0" applyBorder="1" applyAlignment="1">
      <alignment/>
    </xf>
    <xf numFmtId="0" fontId="29" fillId="0" borderId="0" xfId="0" applyFont="1" applyBorder="1" applyAlignment="1">
      <alignment horizontal="center"/>
    </xf>
    <xf numFmtId="0" fontId="62" fillId="0" borderId="0" xfId="0" applyFont="1" applyBorder="1" applyAlignment="1">
      <alignment horizontal="center"/>
    </xf>
    <xf numFmtId="0" fontId="62" fillId="0" borderId="12" xfId="0" applyFont="1" applyBorder="1" applyAlignment="1">
      <alignment/>
    </xf>
    <xf numFmtId="0" fontId="1" fillId="0" borderId="11" xfId="0" applyFont="1" applyBorder="1" applyAlignment="1">
      <alignment horizontal="right"/>
    </xf>
    <xf numFmtId="0" fontId="118" fillId="0" borderId="12" xfId="0" applyFont="1" applyBorder="1" applyAlignment="1">
      <alignment/>
    </xf>
    <xf numFmtId="0" fontId="118" fillId="0" borderId="23" xfId="0" applyFont="1" applyBorder="1" applyAlignment="1">
      <alignment horizontal="center"/>
    </xf>
    <xf numFmtId="0" fontId="1" fillId="0" borderId="29" xfId="0" applyFont="1" applyBorder="1" applyAlignment="1">
      <alignment horizontal="right"/>
    </xf>
    <xf numFmtId="0" fontId="1" fillId="4" borderId="80" xfId="0" applyFont="1" applyFill="1" applyBorder="1" applyAlignment="1">
      <alignment horizontal="center"/>
    </xf>
    <xf numFmtId="0" fontId="15" fillId="0" borderId="10" xfId="0" applyFont="1" applyBorder="1" applyAlignment="1">
      <alignment/>
    </xf>
    <xf numFmtId="0" fontId="15" fillId="0" borderId="81"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1" fontId="1" fillId="5" borderId="1" xfId="0" applyNumberFormat="1" applyFont="1" applyFill="1" applyBorder="1" applyAlignment="1">
      <alignment horizontal="center"/>
    </xf>
    <xf numFmtId="0" fontId="10" fillId="5" borderId="20" xfId="0" applyFont="1" applyFill="1" applyBorder="1" applyAlignment="1">
      <alignment horizontal="center"/>
    </xf>
    <xf numFmtId="2" fontId="1" fillId="4" borderId="80" xfId="0" applyNumberFormat="1" applyFont="1" applyFill="1" applyBorder="1" applyAlignment="1">
      <alignment horizontal="center"/>
    </xf>
    <xf numFmtId="0" fontId="1" fillId="13" borderId="1" xfId="0" applyFont="1" applyFill="1" applyBorder="1" applyAlignment="1">
      <alignment horizontal="center"/>
    </xf>
    <xf numFmtId="0" fontId="0" fillId="0" borderId="0" xfId="0" applyFill="1" applyBorder="1" applyAlignment="1">
      <alignment horizontal="center"/>
    </xf>
    <xf numFmtId="0" fontId="0" fillId="5" borderId="1" xfId="0" applyFill="1" applyBorder="1" applyAlignment="1">
      <alignment/>
    </xf>
    <xf numFmtId="0" fontId="1" fillId="5" borderId="2" xfId="0" applyFont="1" applyFill="1" applyBorder="1" applyAlignment="1">
      <alignment/>
    </xf>
    <xf numFmtId="178" fontId="1" fillId="0" borderId="1" xfId="0" applyNumberFormat="1" applyFont="1" applyFill="1" applyBorder="1" applyAlignment="1">
      <alignment horizontal="center"/>
    </xf>
    <xf numFmtId="178" fontId="0" fillId="0" borderId="1" xfId="0" applyNumberFormat="1" applyBorder="1" applyAlignment="1">
      <alignment horizontal="center"/>
    </xf>
    <xf numFmtId="0" fontId="2" fillId="0" borderId="0" xfId="0" applyFont="1" applyAlignment="1">
      <alignment horizontal="center"/>
    </xf>
    <xf numFmtId="0" fontId="30" fillId="0" borderId="0" xfId="0" applyFont="1" applyFill="1" applyAlignment="1">
      <alignment horizontal="right" vertical="center"/>
    </xf>
    <xf numFmtId="0" fontId="13" fillId="0" borderId="1" xfId="0" applyFont="1" applyBorder="1" applyAlignment="1">
      <alignment horizontal="center"/>
    </xf>
    <xf numFmtId="2" fontId="13" fillId="0" borderId="1" xfId="0" applyNumberFormat="1" applyFont="1" applyBorder="1" applyAlignment="1">
      <alignment horizontal="center"/>
    </xf>
    <xf numFmtId="174" fontId="9" fillId="0" borderId="1" xfId="0" applyNumberFormat="1" applyFont="1" applyBorder="1" applyAlignment="1">
      <alignment horizontal="center"/>
    </xf>
    <xf numFmtId="0" fontId="12" fillId="0" borderId="0" xfId="0" applyFont="1" applyAlignment="1" applyProtection="1">
      <alignment horizontal="right"/>
      <protection/>
    </xf>
    <xf numFmtId="175" fontId="0" fillId="0" borderId="1" xfId="0" applyNumberFormat="1" applyBorder="1" applyAlignment="1">
      <alignment horizontal="center"/>
    </xf>
    <xf numFmtId="0" fontId="13" fillId="0" borderId="0" xfId="0" applyFont="1" applyAlignment="1" applyProtection="1">
      <alignment/>
      <protection/>
    </xf>
    <xf numFmtId="0" fontId="129" fillId="0" borderId="0" xfId="0" applyFont="1" applyBorder="1" applyAlignment="1">
      <alignment horizontal="right"/>
    </xf>
    <xf numFmtId="0" fontId="129" fillId="0" borderId="0" xfId="0" applyFont="1" applyAlignment="1">
      <alignment horizontal="right"/>
    </xf>
    <xf numFmtId="0" fontId="1" fillId="0" borderId="1" xfId="0" applyFont="1" applyBorder="1" applyAlignment="1" applyProtection="1">
      <alignment horizontal="center"/>
      <protection/>
    </xf>
    <xf numFmtId="0" fontId="118" fillId="5" borderId="1" xfId="0" applyFont="1" applyFill="1" applyBorder="1" applyAlignment="1">
      <alignment/>
    </xf>
    <xf numFmtId="175" fontId="13" fillId="0" borderId="1" xfId="0" applyNumberFormat="1" applyFont="1" applyBorder="1" applyAlignment="1" applyProtection="1">
      <alignment horizontal="center"/>
      <protection/>
    </xf>
    <xf numFmtId="0" fontId="9" fillId="0" borderId="1" xfId="0" applyFont="1" applyBorder="1" applyAlignment="1" applyProtection="1">
      <alignment horizontal="center"/>
      <protection/>
    </xf>
    <xf numFmtId="0" fontId="2" fillId="0" borderId="0" xfId="0" applyFont="1" applyAlignment="1" applyProtection="1">
      <alignment/>
      <protection/>
    </xf>
    <xf numFmtId="0" fontId="15" fillId="0" borderId="0" xfId="0" applyFont="1" applyAlignment="1" applyProtection="1">
      <alignment horizontal="center"/>
      <protection/>
    </xf>
    <xf numFmtId="0" fontId="15" fillId="0" borderId="0" xfId="0" applyFont="1" applyAlignment="1" applyProtection="1">
      <alignment horizontal="center"/>
      <protection/>
    </xf>
    <xf numFmtId="0" fontId="131" fillId="0" borderId="0" xfId="0" applyFont="1" applyAlignment="1" applyProtection="1">
      <alignment horizontal="center"/>
      <protection/>
    </xf>
    <xf numFmtId="2" fontId="16" fillId="5" borderId="1" xfId="0" applyNumberFormat="1" applyFont="1" applyFill="1" applyBorder="1" applyAlignment="1" applyProtection="1">
      <alignment horizontal="center"/>
      <protection/>
    </xf>
    <xf numFmtId="0" fontId="57" fillId="0" borderId="0" xfId="0" applyFont="1" applyAlignment="1" applyProtection="1">
      <alignment horizontal="right"/>
      <protection/>
    </xf>
    <xf numFmtId="0" fontId="134" fillId="0" borderId="0" xfId="0" applyFont="1" applyAlignment="1" applyProtection="1">
      <alignment horizontal="right"/>
      <protection/>
    </xf>
    <xf numFmtId="0" fontId="57" fillId="0" borderId="0" xfId="0" applyFont="1" applyAlignment="1" applyProtection="1">
      <alignment horizontal="left"/>
      <protection/>
    </xf>
    <xf numFmtId="0" fontId="18" fillId="0" borderId="0" xfId="0" applyFont="1" applyAlignment="1" applyProtection="1">
      <alignment horizontal="left"/>
      <protection/>
    </xf>
    <xf numFmtId="0" fontId="135" fillId="0" borderId="0" xfId="0" applyFont="1" applyAlignment="1" applyProtection="1">
      <alignment horizontal="left" vertical="top"/>
      <protection/>
    </xf>
    <xf numFmtId="0" fontId="16" fillId="0" borderId="7" xfId="0" applyFont="1" applyBorder="1" applyAlignment="1" applyProtection="1">
      <alignment horizontal="left"/>
      <protection locked="0"/>
    </xf>
    <xf numFmtId="0" fontId="0" fillId="0" borderId="7" xfId="0" applyFont="1" applyBorder="1" applyAlignment="1" applyProtection="1">
      <alignment horizontal="left"/>
      <protection locked="0"/>
    </xf>
    <xf numFmtId="0" fontId="79" fillId="0" borderId="0" xfId="0" applyFont="1" applyBorder="1" applyAlignment="1">
      <alignment horizontal="right"/>
    </xf>
    <xf numFmtId="0" fontId="79" fillId="0" borderId="0" xfId="0" applyFont="1" applyBorder="1" applyAlignment="1">
      <alignment horizontal="center"/>
    </xf>
    <xf numFmtId="2" fontId="79" fillId="0" borderId="0" xfId="0" applyNumberFormat="1" applyFont="1" applyBorder="1" applyAlignment="1">
      <alignment horizontal="center"/>
    </xf>
    <xf numFmtId="0" fontId="24" fillId="0" borderId="0" xfId="0" applyFont="1" applyBorder="1" applyAlignment="1">
      <alignment horizontal="center"/>
    </xf>
    <xf numFmtId="175" fontId="1" fillId="3" borderId="1" xfId="0" applyNumberFormat="1" applyFont="1" applyFill="1" applyBorder="1" applyAlignment="1">
      <alignment horizontal="center"/>
    </xf>
    <xf numFmtId="175" fontId="1" fillId="4" borderId="1" xfId="0" applyNumberFormat="1" applyFont="1" applyFill="1" applyBorder="1" applyAlignment="1" applyProtection="1">
      <alignment horizontal="center"/>
      <protection locked="0"/>
    </xf>
    <xf numFmtId="175" fontId="0" fillId="0" borderId="1" xfId="0" applyNumberFormat="1" applyFont="1" applyFill="1" applyBorder="1" applyAlignment="1">
      <alignment horizontal="center"/>
    </xf>
    <xf numFmtId="0" fontId="16" fillId="0" borderId="0" xfId="0" applyFont="1" applyAlignment="1">
      <alignment horizontal="right"/>
    </xf>
    <xf numFmtId="174" fontId="105" fillId="0" borderId="0" xfId="0" applyNumberFormat="1" applyFont="1" applyAlignment="1">
      <alignment horizontal="center"/>
    </xf>
    <xf numFmtId="175" fontId="101" fillId="0" borderId="16" xfId="0" applyNumberFormat="1" applyFont="1" applyBorder="1" applyAlignment="1">
      <alignment horizontal="center"/>
    </xf>
    <xf numFmtId="174" fontId="1" fillId="5" borderId="1" xfId="0" applyNumberFormat="1" applyFont="1" applyFill="1" applyBorder="1" applyAlignment="1" applyProtection="1">
      <alignment horizontal="center"/>
      <protection/>
    </xf>
    <xf numFmtId="175" fontId="0" fillId="5" borderId="1" xfId="0" applyNumberFormat="1" applyFill="1" applyBorder="1" applyAlignment="1" applyProtection="1">
      <alignment horizontal="center"/>
      <protection/>
    </xf>
    <xf numFmtId="0" fontId="139" fillId="0" borderId="0" xfId="0" applyFont="1" applyAlignment="1">
      <alignment/>
    </xf>
    <xf numFmtId="0" fontId="119" fillId="0" borderId="0" xfId="0" applyFont="1" applyAlignment="1">
      <alignment vertical="top"/>
    </xf>
    <xf numFmtId="0" fontId="19" fillId="0" borderId="0" xfId="0" applyFont="1" applyBorder="1" applyAlignment="1" applyProtection="1">
      <alignment horizontal="center" vertical="center"/>
      <protection/>
    </xf>
    <xf numFmtId="0" fontId="141" fillId="0" borderId="0" xfId="0" applyFont="1" applyAlignment="1" applyProtection="1">
      <alignment/>
      <protection/>
    </xf>
    <xf numFmtId="0" fontId="147" fillId="0" borderId="0" xfId="0" applyFont="1" applyAlignment="1" applyProtection="1">
      <alignment vertical="center"/>
      <protection/>
    </xf>
    <xf numFmtId="0" fontId="28" fillId="7" borderId="82" xfId="0" applyFont="1" applyFill="1" applyBorder="1" applyAlignment="1" applyProtection="1">
      <alignment/>
      <protection locked="0"/>
    </xf>
    <xf numFmtId="0" fontId="28" fillId="10" borderId="82" xfId="0" applyFont="1" applyFill="1" applyBorder="1" applyAlignment="1" applyProtection="1">
      <alignment/>
      <protection locked="0"/>
    </xf>
    <xf numFmtId="0" fontId="28" fillId="3" borderId="82" xfId="0" applyFont="1" applyFill="1" applyBorder="1" applyAlignment="1" applyProtection="1">
      <alignment/>
      <protection locked="0"/>
    </xf>
    <xf numFmtId="0" fontId="28" fillId="7" borderId="83" xfId="0" applyFont="1" applyFill="1" applyBorder="1" applyAlignment="1" applyProtection="1">
      <alignment/>
      <protection locked="0"/>
    </xf>
    <xf numFmtId="0" fontId="28" fillId="10" borderId="83" xfId="0" applyFont="1" applyFill="1" applyBorder="1" applyAlignment="1" applyProtection="1">
      <alignment/>
      <protection locked="0"/>
    </xf>
    <xf numFmtId="0" fontId="28" fillId="3" borderId="83" xfId="0" applyFont="1" applyFill="1" applyBorder="1" applyAlignment="1" applyProtection="1">
      <alignment/>
      <protection locked="0"/>
    </xf>
    <xf numFmtId="0" fontId="28" fillId="0" borderId="84" xfId="0" applyFont="1" applyBorder="1" applyAlignment="1" applyProtection="1">
      <alignment/>
      <protection/>
    </xf>
    <xf numFmtId="0" fontId="28" fillId="0" borderId="84" xfId="0" applyFont="1" applyFill="1" applyBorder="1" applyAlignment="1" applyProtection="1">
      <alignment/>
      <protection/>
    </xf>
    <xf numFmtId="0" fontId="28" fillId="0" borderId="85" xfId="0" applyFont="1" applyFill="1" applyBorder="1" applyAlignment="1" applyProtection="1">
      <alignment/>
      <protection/>
    </xf>
    <xf numFmtId="0" fontId="28" fillId="7" borderId="22" xfId="0" applyFont="1" applyFill="1" applyBorder="1" applyAlignment="1" applyProtection="1">
      <alignment/>
      <protection locked="0"/>
    </xf>
    <xf numFmtId="0" fontId="28" fillId="10" borderId="22" xfId="0" applyFont="1" applyFill="1" applyBorder="1" applyAlignment="1" applyProtection="1">
      <alignment/>
      <protection locked="0"/>
    </xf>
    <xf numFmtId="0" fontId="28" fillId="3" borderId="22" xfId="0" applyFont="1" applyFill="1" applyBorder="1" applyAlignment="1" applyProtection="1">
      <alignment/>
      <protection locked="0"/>
    </xf>
    <xf numFmtId="0" fontId="28" fillId="0" borderId="86" xfId="0" applyFont="1" applyFill="1" applyBorder="1" applyAlignment="1" applyProtection="1">
      <alignment/>
      <protection/>
    </xf>
    <xf numFmtId="0" fontId="28" fillId="7" borderId="87" xfId="0" applyFont="1" applyFill="1" applyBorder="1" applyAlignment="1" applyProtection="1">
      <alignment/>
      <protection locked="0"/>
    </xf>
    <xf numFmtId="0" fontId="28" fillId="10" borderId="87" xfId="0" applyFont="1" applyFill="1" applyBorder="1" applyAlignment="1" applyProtection="1">
      <alignment/>
      <protection locked="0"/>
    </xf>
    <xf numFmtId="0" fontId="28" fillId="3" borderId="87" xfId="0" applyFont="1" applyFill="1" applyBorder="1" applyAlignment="1" applyProtection="1">
      <alignment/>
      <protection locked="0"/>
    </xf>
    <xf numFmtId="0" fontId="28" fillId="0" borderId="88" xfId="0" applyFont="1" applyFill="1" applyBorder="1" applyAlignment="1" applyProtection="1">
      <alignment/>
      <protection/>
    </xf>
    <xf numFmtId="0" fontId="7" fillId="0" borderId="0" xfId="0" applyFont="1" applyAlignment="1" applyProtection="1">
      <alignment/>
      <protection/>
    </xf>
    <xf numFmtId="0" fontId="10" fillId="0" borderId="16" xfId="0" applyFont="1" applyBorder="1" applyAlignment="1">
      <alignment horizontal="center"/>
    </xf>
    <xf numFmtId="0" fontId="148" fillId="0" borderId="0" xfId="0" applyFont="1" applyAlignment="1">
      <alignment horizontal="right"/>
    </xf>
    <xf numFmtId="0" fontId="10" fillId="0" borderId="7" xfId="0" applyFont="1" applyBorder="1" applyAlignment="1">
      <alignment/>
    </xf>
    <xf numFmtId="10" fontId="7" fillId="0" borderId="0" xfId="0" applyNumberFormat="1" applyFont="1" applyAlignment="1">
      <alignment/>
    </xf>
    <xf numFmtId="0" fontId="0" fillId="0" borderId="12" xfId="0" applyBorder="1" applyAlignment="1">
      <alignment horizontal="center"/>
    </xf>
    <xf numFmtId="0" fontId="0" fillId="0" borderId="89" xfId="0" applyBorder="1" applyAlignment="1">
      <alignment horizontal="center"/>
    </xf>
    <xf numFmtId="0" fontId="0" fillId="5" borderId="90" xfId="0" applyFill="1" applyBorder="1" applyAlignment="1">
      <alignment/>
    </xf>
    <xf numFmtId="0" fontId="0" fillId="5" borderId="91" xfId="0" applyFill="1" applyBorder="1" applyAlignment="1">
      <alignment/>
    </xf>
    <xf numFmtId="0" fontId="0" fillId="5" borderId="11" xfId="0" applyFill="1" applyBorder="1" applyAlignment="1">
      <alignment/>
    </xf>
    <xf numFmtId="0" fontId="0" fillId="0" borderId="92" xfId="0" applyBorder="1" applyAlignment="1">
      <alignment/>
    </xf>
    <xf numFmtId="0" fontId="0" fillId="0" borderId="93" xfId="0" applyBorder="1" applyAlignment="1">
      <alignment/>
    </xf>
    <xf numFmtId="0" fontId="0" fillId="0" borderId="86" xfId="0" applyBorder="1" applyAlignment="1">
      <alignment/>
    </xf>
    <xf numFmtId="0" fontId="0" fillId="0" borderId="84" xfId="0" applyBorder="1" applyAlignment="1">
      <alignment/>
    </xf>
    <xf numFmtId="0" fontId="0" fillId="5" borderId="8" xfId="0" applyFill="1" applyBorder="1" applyAlignment="1">
      <alignment/>
    </xf>
    <xf numFmtId="0" fontId="0" fillId="0" borderId="94" xfId="0" applyBorder="1" applyAlignment="1">
      <alignment/>
    </xf>
    <xf numFmtId="0" fontId="0" fillId="0" borderId="95" xfId="0" applyBorder="1" applyAlignment="1">
      <alignment/>
    </xf>
    <xf numFmtId="0" fontId="0" fillId="0" borderId="96" xfId="0" applyBorder="1" applyAlignment="1">
      <alignment/>
    </xf>
    <xf numFmtId="0" fontId="7" fillId="0" borderId="0" xfId="0" applyFont="1" applyBorder="1" applyAlignment="1">
      <alignment horizontal="right"/>
    </xf>
    <xf numFmtId="0" fontId="31" fillId="0" borderId="94" xfId="0" applyFont="1" applyBorder="1" applyAlignment="1">
      <alignment horizontal="center"/>
    </xf>
    <xf numFmtId="0" fontId="15" fillId="0" borderId="0" xfId="0" applyFont="1" applyBorder="1" applyAlignment="1">
      <alignment horizontal="center"/>
    </xf>
    <xf numFmtId="0" fontId="150" fillId="0" borderId="0" xfId="0" applyFont="1" applyAlignment="1">
      <alignment horizontal="left" vertical="center"/>
    </xf>
    <xf numFmtId="0" fontId="150" fillId="0" borderId="0" xfId="0" applyFont="1" applyBorder="1" applyAlignment="1">
      <alignment horizontal="left" vertical="center"/>
    </xf>
    <xf numFmtId="0" fontId="15" fillId="0" borderId="84" xfId="0" applyFont="1" applyBorder="1" applyAlignment="1">
      <alignment horizontal="center"/>
    </xf>
    <xf numFmtId="0" fontId="150" fillId="0" borderId="86" xfId="0" applyFont="1" applyBorder="1" applyAlignment="1">
      <alignment/>
    </xf>
    <xf numFmtId="0" fontId="150" fillId="0" borderId="97" xfId="0" applyFont="1" applyBorder="1" applyAlignment="1">
      <alignment vertical="center"/>
    </xf>
    <xf numFmtId="174" fontId="119" fillId="0" borderId="0" xfId="0" applyNumberFormat="1" applyFont="1" applyAlignment="1">
      <alignment/>
    </xf>
    <xf numFmtId="174" fontId="119" fillId="0" borderId="0" xfId="0" applyNumberFormat="1" applyFont="1" applyAlignment="1">
      <alignment horizontal="center"/>
    </xf>
    <xf numFmtId="0" fontId="150" fillId="0" borderId="0" xfId="0" applyFont="1" applyBorder="1" applyAlignment="1">
      <alignment horizontal="center" vertical="center"/>
    </xf>
    <xf numFmtId="0" fontId="31" fillId="0" borderId="86" xfId="0" applyFont="1" applyBorder="1" applyAlignment="1">
      <alignment horizontal="center" vertical="center"/>
    </xf>
    <xf numFmtId="0" fontId="0" fillId="0" borderId="98" xfId="0" applyBorder="1" applyAlignment="1">
      <alignment horizontal="center"/>
    </xf>
    <xf numFmtId="0" fontId="0" fillId="5" borderId="99" xfId="0" applyFill="1" applyBorder="1" applyAlignment="1">
      <alignment/>
    </xf>
    <xf numFmtId="0" fontId="0" fillId="5" borderId="100" xfId="0" applyFill="1" applyBorder="1" applyAlignment="1">
      <alignment/>
    </xf>
    <xf numFmtId="0" fontId="0" fillId="5" borderId="101" xfId="0" applyFill="1" applyBorder="1" applyAlignment="1">
      <alignment/>
    </xf>
    <xf numFmtId="0" fontId="0" fillId="0" borderId="102" xfId="0" applyBorder="1" applyAlignment="1">
      <alignment/>
    </xf>
    <xf numFmtId="2" fontId="119" fillId="0" borderId="7" xfId="0" applyNumberFormat="1" applyFont="1" applyBorder="1" applyAlignment="1">
      <alignment horizontal="center"/>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0" fillId="0" borderId="106" xfId="0" applyBorder="1" applyAlignment="1">
      <alignment/>
    </xf>
    <xf numFmtId="0" fontId="0" fillId="0" borderId="107" xfId="0" applyBorder="1" applyAlignment="1">
      <alignment/>
    </xf>
    <xf numFmtId="0" fontId="150" fillId="0" borderId="0" xfId="0" applyFont="1" applyAlignment="1">
      <alignment horizontal="center" vertical="center"/>
    </xf>
    <xf numFmtId="0" fontId="150" fillId="0" borderId="84" xfId="0" applyFont="1" applyBorder="1" applyAlignment="1">
      <alignment horizontal="left" vertical="center"/>
    </xf>
    <xf numFmtId="0" fontId="0" fillId="0" borderId="108" xfId="0" applyBorder="1" applyAlignment="1">
      <alignment/>
    </xf>
    <xf numFmtId="0" fontId="0" fillId="0" borderId="80" xfId="0" applyBorder="1" applyAlignment="1">
      <alignment/>
    </xf>
    <xf numFmtId="0" fontId="0" fillId="0" borderId="109" xfId="0" applyBorder="1" applyAlignment="1">
      <alignment/>
    </xf>
    <xf numFmtId="0" fontId="150" fillId="0" borderId="94" xfId="0" applyFont="1" applyBorder="1" applyAlignment="1">
      <alignment vertical="center"/>
    </xf>
    <xf numFmtId="0" fontId="150" fillId="0" borderId="110" xfId="0" applyFont="1" applyBorder="1" applyAlignment="1">
      <alignment vertical="center"/>
    </xf>
    <xf numFmtId="0" fontId="0" fillId="0" borderId="111" xfId="0" applyBorder="1" applyAlignment="1">
      <alignment/>
    </xf>
    <xf numFmtId="0" fontId="0" fillId="0" borderId="112" xfId="0" applyBorder="1" applyAlignment="1">
      <alignment/>
    </xf>
    <xf numFmtId="0" fontId="0" fillId="0" borderId="0" xfId="0" applyFill="1" applyBorder="1" applyAlignment="1">
      <alignment/>
    </xf>
    <xf numFmtId="0" fontId="0" fillId="5" borderId="11" xfId="0" applyFill="1" applyBorder="1" applyAlignment="1">
      <alignment horizontal="center"/>
    </xf>
    <xf numFmtId="0" fontId="7" fillId="0" borderId="89" xfId="0" applyFont="1" applyBorder="1" applyAlignment="1">
      <alignment horizontal="right"/>
    </xf>
    <xf numFmtId="2" fontId="15" fillId="0" borderId="0" xfId="0" applyNumberFormat="1" applyFont="1" applyAlignment="1" applyProtection="1">
      <alignment horizontal="center"/>
      <protection/>
    </xf>
    <xf numFmtId="14" fontId="16" fillId="0" borderId="7" xfId="0" applyNumberFormat="1" applyFont="1" applyBorder="1" applyAlignment="1" applyProtection="1">
      <alignment horizontal="left"/>
      <protection/>
    </xf>
    <xf numFmtId="175" fontId="1" fillId="4" borderId="16" xfId="0" applyNumberFormat="1" applyFont="1" applyFill="1" applyBorder="1" applyAlignment="1" applyProtection="1">
      <alignment horizontal="center"/>
      <protection/>
    </xf>
    <xf numFmtId="175" fontId="1" fillId="5" borderId="1" xfId="0" applyNumberFormat="1" applyFont="1" applyFill="1" applyBorder="1" applyAlignment="1" applyProtection="1">
      <alignment horizontal="center"/>
      <protection/>
    </xf>
    <xf numFmtId="175" fontId="16" fillId="5" borderId="1" xfId="0" applyNumberFormat="1" applyFont="1" applyFill="1" applyBorder="1" applyAlignment="1" applyProtection="1">
      <alignment horizontal="center"/>
      <protection/>
    </xf>
    <xf numFmtId="0" fontId="63" fillId="0" borderId="0" xfId="0" applyFont="1" applyAlignment="1" applyProtection="1">
      <alignment horizontal="left"/>
      <protection/>
    </xf>
    <xf numFmtId="0" fontId="63" fillId="0" borderId="0" xfId="0" applyFont="1" applyAlignment="1" applyProtection="1">
      <alignment horizontal="right"/>
      <protection/>
    </xf>
    <xf numFmtId="2" fontId="154" fillId="13" borderId="16" xfId="0" applyNumberFormat="1" applyFont="1" applyFill="1" applyBorder="1" applyAlignment="1">
      <alignment horizontal="center"/>
    </xf>
    <xf numFmtId="2" fontId="152" fillId="0" borderId="1" xfId="0" applyNumberFormat="1" applyFont="1" applyBorder="1" applyAlignment="1">
      <alignment horizontal="center" vertical="center"/>
    </xf>
    <xf numFmtId="0" fontId="15" fillId="0" borderId="1" xfId="0" applyFont="1" applyBorder="1" applyAlignment="1" applyProtection="1">
      <alignment horizontal="center"/>
      <protection/>
    </xf>
    <xf numFmtId="2" fontId="10" fillId="0" borderId="1" xfId="0" applyNumberFormat="1" applyFont="1" applyBorder="1" applyAlignment="1" applyProtection="1">
      <alignment horizontal="center"/>
      <protection/>
    </xf>
    <xf numFmtId="0" fontId="10" fillId="5" borderId="1" xfId="0" applyFont="1" applyFill="1" applyBorder="1" applyAlignment="1" applyProtection="1">
      <alignment horizontal="center"/>
      <protection/>
    </xf>
    <xf numFmtId="0" fontId="151" fillId="0" borderId="0" xfId="0" applyFont="1" applyAlignment="1" applyProtection="1">
      <alignment horizontal="right"/>
      <protection/>
    </xf>
    <xf numFmtId="0" fontId="105" fillId="0" borderId="0" xfId="27" applyFont="1" applyAlignment="1" applyProtection="1">
      <alignment/>
      <protection/>
    </xf>
    <xf numFmtId="175" fontId="0" fillId="0" borderId="0" xfId="0" applyNumberFormat="1" applyAlignment="1" applyProtection="1">
      <alignment/>
      <protection/>
    </xf>
    <xf numFmtId="175" fontId="1" fillId="0" borderId="1" xfId="0" applyNumberFormat="1" applyFont="1" applyBorder="1" applyAlignment="1" applyProtection="1">
      <alignment horizontal="center"/>
      <protection/>
    </xf>
    <xf numFmtId="0" fontId="16" fillId="0" borderId="0" xfId="0" applyNumberFormat="1" applyFont="1" applyAlignment="1">
      <alignment horizontal="center"/>
    </xf>
    <xf numFmtId="49" fontId="105" fillId="0" borderId="0" xfId="0" applyNumberFormat="1" applyFont="1" applyAlignment="1" applyProtection="1">
      <alignment horizontal="center"/>
      <protection locked="0"/>
    </xf>
    <xf numFmtId="0" fontId="154" fillId="5" borderId="113" xfId="0" applyFont="1" applyFill="1" applyBorder="1" applyAlignment="1" applyProtection="1">
      <alignment horizontal="left"/>
      <protection/>
    </xf>
    <xf numFmtId="0" fontId="154" fillId="5" borderId="79" xfId="0" applyFont="1" applyFill="1" applyBorder="1" applyAlignment="1" applyProtection="1">
      <alignment/>
      <protection/>
    </xf>
    <xf numFmtId="0" fontId="156" fillId="5" borderId="113" xfId="0" applyFont="1" applyFill="1" applyBorder="1" applyAlignment="1" applyProtection="1">
      <alignment/>
      <protection/>
    </xf>
    <xf numFmtId="0" fontId="156" fillId="5" borderId="79" xfId="0" applyFont="1" applyFill="1" applyBorder="1" applyAlignment="1" applyProtection="1">
      <alignment/>
      <protection/>
    </xf>
    <xf numFmtId="0" fontId="17" fillId="5" borderId="1" xfId="0" applyFont="1" applyFill="1" applyBorder="1" applyAlignment="1">
      <alignment horizontal="center"/>
    </xf>
    <xf numFmtId="0" fontId="10" fillId="0" borderId="0" xfId="0" applyFont="1" applyAlignment="1" applyProtection="1">
      <alignment/>
      <protection/>
    </xf>
    <xf numFmtId="2" fontId="0" fillId="0" borderId="7" xfId="0" applyNumberFormat="1" applyBorder="1" applyAlignment="1">
      <alignment horizontal="center"/>
    </xf>
    <xf numFmtId="0" fontId="157" fillId="0" borderId="0" xfId="0" applyFont="1" applyBorder="1" applyAlignment="1">
      <alignment horizontal="right"/>
    </xf>
    <xf numFmtId="0" fontId="0" fillId="0" borderId="0" xfId="0" applyBorder="1" applyAlignment="1">
      <alignment horizontal="left"/>
    </xf>
    <xf numFmtId="0" fontId="157" fillId="0" borderId="0" xfId="0" applyFont="1" applyAlignment="1">
      <alignment/>
    </xf>
    <xf numFmtId="0" fontId="16" fillId="0" borderId="0" xfId="0" applyFont="1" applyAlignment="1" applyProtection="1">
      <alignment/>
      <protection/>
    </xf>
    <xf numFmtId="175" fontId="0" fillId="0" borderId="56" xfId="0" applyNumberFormat="1" applyBorder="1" applyAlignment="1">
      <alignment horizontal="center"/>
    </xf>
    <xf numFmtId="175" fontId="0" fillId="0" borderId="104" xfId="0" applyNumberFormat="1" applyBorder="1" applyAlignment="1">
      <alignment horizontal="center"/>
    </xf>
    <xf numFmtId="175" fontId="0" fillId="0" borderId="2" xfId="0" applyNumberFormat="1" applyBorder="1" applyAlignment="1">
      <alignment horizontal="center"/>
    </xf>
    <xf numFmtId="0" fontId="23" fillId="0" borderId="0" xfId="0" applyFont="1" applyAlignment="1" applyProtection="1">
      <alignment horizontal="right"/>
      <protection/>
    </xf>
    <xf numFmtId="2" fontId="158" fillId="5" borderId="1" xfId="0" applyNumberFormat="1" applyFont="1" applyFill="1" applyBorder="1" applyAlignment="1" applyProtection="1">
      <alignment horizontal="center"/>
      <protection/>
    </xf>
    <xf numFmtId="175" fontId="1" fillId="0" borderId="0" xfId="0" applyNumberFormat="1" applyFont="1" applyAlignment="1">
      <alignment horizontal="center"/>
    </xf>
    <xf numFmtId="2" fontId="158" fillId="0" borderId="7" xfId="0" applyNumberFormat="1" applyFont="1" applyBorder="1" applyAlignment="1" applyProtection="1">
      <alignment horizontal="center"/>
      <protection/>
    </xf>
    <xf numFmtId="0" fontId="159" fillId="0" borderId="0" xfId="0" applyFont="1" applyAlignment="1">
      <alignment/>
    </xf>
    <xf numFmtId="0" fontId="160" fillId="0" borderId="0" xfId="0" applyFont="1" applyAlignment="1" applyProtection="1">
      <alignment/>
      <protection/>
    </xf>
    <xf numFmtId="0" fontId="16" fillId="0" borderId="1" xfId="0" applyFont="1" applyBorder="1" applyAlignment="1">
      <alignment horizontal="center"/>
    </xf>
    <xf numFmtId="0" fontId="162" fillId="0" borderId="0" xfId="0" applyFont="1" applyFill="1" applyAlignment="1" applyProtection="1">
      <alignment horizontal="right"/>
      <protection/>
    </xf>
    <xf numFmtId="0" fontId="164" fillId="0" borderId="0" xfId="0" applyFont="1" applyFill="1" applyAlignment="1" applyProtection="1">
      <alignment horizontal="right"/>
      <protection/>
    </xf>
    <xf numFmtId="0" fontId="33" fillId="0" borderId="7" xfId="0" applyFont="1" applyBorder="1" applyAlignment="1">
      <alignment horizontal="center"/>
    </xf>
    <xf numFmtId="0" fontId="163" fillId="7" borderId="114" xfId="0" applyFont="1" applyFill="1" applyBorder="1" applyAlignment="1" applyProtection="1">
      <alignment horizontal="center" vertical="top"/>
      <protection/>
    </xf>
    <xf numFmtId="0" fontId="163" fillId="7" borderId="115" xfId="0" applyFont="1" applyFill="1" applyBorder="1" applyAlignment="1" applyProtection="1">
      <alignment horizontal="center" vertical="top"/>
      <protection/>
    </xf>
    <xf numFmtId="0" fontId="167" fillId="0" borderId="0" xfId="0" applyFont="1" applyAlignment="1">
      <alignment horizontal="right"/>
    </xf>
    <xf numFmtId="0" fontId="34" fillId="0" borderId="0" xfId="0" applyFont="1" applyAlignment="1">
      <alignment/>
    </xf>
    <xf numFmtId="0" fontId="7" fillId="0" borderId="0" xfId="0" applyFont="1" applyAlignment="1">
      <alignment/>
    </xf>
    <xf numFmtId="0" fontId="171" fillId="0" borderId="0" xfId="0" applyFont="1" applyAlignment="1">
      <alignment/>
    </xf>
    <xf numFmtId="0" fontId="0" fillId="0" borderId="116" xfId="0" applyBorder="1" applyAlignment="1">
      <alignment/>
    </xf>
    <xf numFmtId="0" fontId="0" fillId="0" borderId="117" xfId="0" applyBorder="1" applyAlignment="1">
      <alignment/>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121" xfId="0" applyBorder="1" applyAlignment="1">
      <alignment/>
    </xf>
    <xf numFmtId="0" fontId="0" fillId="0" borderId="122" xfId="0" applyBorder="1" applyAlignment="1">
      <alignment/>
    </xf>
    <xf numFmtId="0" fontId="0" fillId="0" borderId="123" xfId="0" applyBorder="1" applyAlignment="1">
      <alignment/>
    </xf>
    <xf numFmtId="0" fontId="153" fillId="0" borderId="0" xfId="0" applyFont="1" applyAlignment="1">
      <alignment/>
    </xf>
    <xf numFmtId="0" fontId="172" fillId="0" borderId="0" xfId="0" applyFont="1" applyAlignment="1">
      <alignment/>
    </xf>
    <xf numFmtId="0" fontId="73" fillId="0" borderId="0" xfId="0" applyFont="1" applyAlignment="1">
      <alignment/>
    </xf>
    <xf numFmtId="0" fontId="173" fillId="0" borderId="0" xfId="0" applyFont="1" applyAlignment="1">
      <alignment/>
    </xf>
    <xf numFmtId="0" fontId="174" fillId="0" borderId="0" xfId="0" applyFont="1" applyAlignment="1" applyProtection="1">
      <alignment horizontal="center"/>
      <protection/>
    </xf>
    <xf numFmtId="175" fontId="16" fillId="14" borderId="1" xfId="0" applyNumberFormat="1" applyFont="1" applyFill="1" applyBorder="1" applyAlignment="1" applyProtection="1">
      <alignment horizontal="center"/>
      <protection/>
    </xf>
    <xf numFmtId="175" fontId="9" fillId="14" borderId="1" xfId="0" applyNumberFormat="1" applyFont="1" applyFill="1" applyBorder="1" applyAlignment="1" applyProtection="1">
      <alignment horizontal="center"/>
      <protection/>
    </xf>
    <xf numFmtId="175" fontId="1" fillId="14" borderId="1" xfId="0" applyNumberFormat="1" applyFont="1" applyFill="1" applyBorder="1" applyAlignment="1" applyProtection="1">
      <alignment horizontal="center"/>
      <protection/>
    </xf>
    <xf numFmtId="175" fontId="0" fillId="0" borderId="1" xfId="18" applyNumberFormat="1" applyFont="1" applyFill="1" applyBorder="1" applyAlignment="1" applyProtection="1">
      <alignment horizontal="center"/>
      <protection/>
    </xf>
    <xf numFmtId="175" fontId="29" fillId="4" borderId="16" xfId="0" applyNumberFormat="1" applyFont="1" applyFill="1" applyBorder="1" applyAlignment="1" applyProtection="1">
      <alignment horizontal="center" vertical="center"/>
      <protection/>
    </xf>
    <xf numFmtId="0" fontId="9" fillId="0" borderId="5" xfId="0" applyFont="1" applyFill="1" applyBorder="1" applyAlignment="1" applyProtection="1">
      <alignment horizontal="center"/>
      <protection/>
    </xf>
    <xf numFmtId="0" fontId="158" fillId="0" borderId="5" xfId="0" applyFont="1" applyFill="1" applyBorder="1" applyAlignment="1" applyProtection="1">
      <alignment horizontal="center"/>
      <protection/>
    </xf>
    <xf numFmtId="0" fontId="175" fillId="0" borderId="5" xfId="0" applyFont="1" applyFill="1" applyBorder="1" applyAlignment="1" applyProtection="1">
      <alignment horizontal="center"/>
      <protection/>
    </xf>
    <xf numFmtId="0" fontId="153" fillId="0" borderId="0" xfId="0" applyFont="1" applyFill="1" applyAlignment="1" applyProtection="1">
      <alignment horizontal="center"/>
      <protection/>
    </xf>
    <xf numFmtId="0" fontId="19" fillId="5" borderId="113" xfId="0" applyFont="1" applyFill="1" applyBorder="1" applyAlignment="1" applyProtection="1">
      <alignment/>
      <protection/>
    </xf>
    <xf numFmtId="0" fontId="19" fillId="5" borderId="71" xfId="0" applyFont="1" applyFill="1" applyBorder="1" applyAlignment="1" applyProtection="1">
      <alignment/>
      <protection/>
    </xf>
    <xf numFmtId="0" fontId="19" fillId="5" borderId="79" xfId="0" applyFont="1" applyFill="1" applyBorder="1" applyAlignment="1" applyProtection="1">
      <alignment/>
      <protection/>
    </xf>
    <xf numFmtId="0" fontId="176" fillId="0" borderId="0" xfId="0" applyFont="1" applyFill="1" applyAlignment="1" applyProtection="1">
      <alignment horizontal="center"/>
      <protection/>
    </xf>
    <xf numFmtId="175" fontId="68" fillId="5" borderId="56" xfId="0" applyNumberFormat="1" applyFont="1" applyFill="1" applyBorder="1" applyAlignment="1">
      <alignment horizontal="center" vertical="center"/>
    </xf>
    <xf numFmtId="175" fontId="33" fillId="0" borderId="35" xfId="0" applyNumberFormat="1" applyFont="1" applyBorder="1" applyAlignment="1">
      <alignment horizontal="center" vertical="center"/>
    </xf>
    <xf numFmtId="174" fontId="33" fillId="0" borderId="36" xfId="0" applyNumberFormat="1" applyFont="1" applyBorder="1" applyAlignment="1">
      <alignment horizontal="center" vertical="center"/>
    </xf>
    <xf numFmtId="2" fontId="33" fillId="0" borderId="0" xfId="0" applyNumberFormat="1" applyFont="1" applyBorder="1" applyAlignment="1">
      <alignment horizontal="center" vertical="center"/>
    </xf>
    <xf numFmtId="175" fontId="33" fillId="0" borderId="37" xfId="0" applyNumberFormat="1" applyFont="1" applyBorder="1" applyAlignment="1">
      <alignment horizontal="center" vertical="center"/>
    </xf>
    <xf numFmtId="1" fontId="33" fillId="0" borderId="38" xfId="0" applyNumberFormat="1" applyFont="1" applyBorder="1" applyAlignment="1">
      <alignment horizontal="center" vertical="center"/>
    </xf>
    <xf numFmtId="178" fontId="73" fillId="0" borderId="124" xfId="0" applyNumberFormat="1" applyFont="1" applyBorder="1" applyAlignment="1">
      <alignment horizontal="center" vertical="center"/>
    </xf>
    <xf numFmtId="1" fontId="33" fillId="0" borderId="39" xfId="0" applyNumberFormat="1" applyFont="1" applyBorder="1" applyAlignment="1">
      <alignment horizontal="center" vertical="center"/>
    </xf>
    <xf numFmtId="1" fontId="73" fillId="0" borderId="0" xfId="0" applyNumberFormat="1" applyFont="1" applyAlignment="1">
      <alignment horizontal="left" vertical="center"/>
    </xf>
    <xf numFmtId="175" fontId="69" fillId="0" borderId="0" xfId="0" applyNumberFormat="1" applyFont="1" applyAlignment="1">
      <alignment horizontal="left" vertical="center"/>
    </xf>
    <xf numFmtId="171" fontId="1" fillId="5" borderId="1" xfId="0" applyNumberFormat="1" applyFont="1" applyFill="1" applyBorder="1" applyAlignment="1">
      <alignment horizontal="center"/>
    </xf>
    <xf numFmtId="0" fontId="177" fillId="0" borderId="0" xfId="0" applyFont="1" applyAlignment="1">
      <alignment horizontal="center"/>
    </xf>
    <xf numFmtId="0" fontId="0" fillId="0" borderId="93" xfId="0" applyBorder="1" applyAlignment="1">
      <alignment horizontal="center"/>
    </xf>
    <xf numFmtId="0" fontId="150" fillId="0" borderId="0" xfId="0" applyFont="1" applyAlignment="1">
      <alignment horizontal="right" vertical="center"/>
    </xf>
    <xf numFmtId="0" fontId="0" fillId="0" borderId="125" xfId="0" applyBorder="1" applyAlignment="1">
      <alignment horizontal="center"/>
    </xf>
    <xf numFmtId="0" fontId="0" fillId="0" borderId="86" xfId="0" applyBorder="1" applyAlignment="1">
      <alignment horizontal="center"/>
    </xf>
    <xf numFmtId="0" fontId="0" fillId="0" borderId="126" xfId="0" applyBorder="1" applyAlignment="1">
      <alignment/>
    </xf>
    <xf numFmtId="0" fontId="0" fillId="0" borderId="127" xfId="0" applyBorder="1" applyAlignment="1">
      <alignment/>
    </xf>
    <xf numFmtId="0" fontId="0" fillId="0" borderId="128" xfId="0" applyBorder="1" applyAlignment="1">
      <alignment/>
    </xf>
    <xf numFmtId="0" fontId="0" fillId="0" borderId="129" xfId="0" applyBorder="1" applyAlignment="1">
      <alignment/>
    </xf>
    <xf numFmtId="0" fontId="0" fillId="0" borderId="130" xfId="0" applyBorder="1" applyAlignment="1">
      <alignment/>
    </xf>
    <xf numFmtId="0" fontId="0" fillId="0" borderId="131" xfId="0" applyBorder="1" applyAlignment="1">
      <alignment/>
    </xf>
    <xf numFmtId="0" fontId="0" fillId="0" borderId="30" xfId="0" applyBorder="1" applyAlignment="1">
      <alignment/>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35" xfId="0" applyBorder="1" applyAlignment="1">
      <alignment/>
    </xf>
    <xf numFmtId="0" fontId="0" fillId="0" borderId="136" xfId="0" applyBorder="1" applyAlignment="1">
      <alignment/>
    </xf>
    <xf numFmtId="0" fontId="0" fillId="0" borderId="137" xfId="0" applyBorder="1" applyAlignment="1">
      <alignment/>
    </xf>
    <xf numFmtId="0" fontId="0" fillId="0" borderId="138" xfId="0" applyBorder="1" applyAlignment="1">
      <alignment/>
    </xf>
    <xf numFmtId="0" fontId="0" fillId="0" borderId="139" xfId="0" applyBorder="1" applyAlignment="1">
      <alignment/>
    </xf>
    <xf numFmtId="0" fontId="0" fillId="0" borderId="140" xfId="0" applyBorder="1" applyAlignment="1">
      <alignment/>
    </xf>
    <xf numFmtId="0" fontId="0" fillId="0" borderId="141" xfId="0" applyBorder="1" applyAlignment="1">
      <alignment/>
    </xf>
    <xf numFmtId="0" fontId="0" fillId="0" borderId="142" xfId="0" applyBorder="1" applyAlignment="1">
      <alignment/>
    </xf>
    <xf numFmtId="0" fontId="16" fillId="0" borderId="0" xfId="0" applyFont="1" applyAlignment="1">
      <alignment/>
    </xf>
    <xf numFmtId="0" fontId="16" fillId="0" borderId="0" xfId="0" applyFont="1" applyAlignment="1">
      <alignment vertical="center"/>
    </xf>
    <xf numFmtId="0" fontId="0" fillId="0" borderId="143" xfId="0" applyBorder="1" applyAlignment="1">
      <alignment/>
    </xf>
    <xf numFmtId="0" fontId="0" fillId="0" borderId="144" xfId="0" applyBorder="1" applyAlignment="1">
      <alignment/>
    </xf>
    <xf numFmtId="0" fontId="0" fillId="0" borderId="145" xfId="0" applyBorder="1" applyAlignment="1">
      <alignment/>
    </xf>
    <xf numFmtId="0" fontId="0" fillId="0" borderId="146" xfId="0" applyBorder="1" applyAlignment="1">
      <alignment/>
    </xf>
    <xf numFmtId="0" fontId="0" fillId="0" borderId="147" xfId="0" applyBorder="1" applyAlignment="1">
      <alignment/>
    </xf>
    <xf numFmtId="0" fontId="0" fillId="0" borderId="148" xfId="0" applyBorder="1" applyAlignment="1">
      <alignment/>
    </xf>
    <xf numFmtId="0" fontId="0" fillId="0" borderId="149" xfId="0" applyBorder="1" applyAlignment="1">
      <alignment/>
    </xf>
    <xf numFmtId="0" fontId="0" fillId="0" borderId="150" xfId="0" applyBorder="1" applyAlignment="1">
      <alignment/>
    </xf>
    <xf numFmtId="0" fontId="0" fillId="0" borderId="96" xfId="0" applyFont="1" applyBorder="1" applyAlignment="1">
      <alignment horizontal="right" vertical="center"/>
    </xf>
    <xf numFmtId="0" fontId="17" fillId="0" borderId="12" xfId="0" applyFont="1" applyBorder="1" applyAlignment="1">
      <alignment horizontal="center" vertical="center"/>
    </xf>
    <xf numFmtId="0" fontId="28" fillId="5" borderId="0" xfId="0" applyFont="1" applyFill="1" applyBorder="1" applyAlignment="1" applyProtection="1">
      <alignment/>
      <protection locked="0"/>
    </xf>
    <xf numFmtId="0" fontId="0" fillId="0" borderId="1" xfId="0" applyBorder="1" applyAlignment="1" applyProtection="1">
      <alignment/>
      <protection/>
    </xf>
    <xf numFmtId="0" fontId="180" fillId="0" borderId="0" xfId="0" applyFont="1" applyAlignment="1" applyProtection="1">
      <alignment horizontal="right"/>
      <protection/>
    </xf>
    <xf numFmtId="174" fontId="180" fillId="10" borderId="151" xfId="0" applyNumberFormat="1" applyFont="1" applyFill="1" applyBorder="1" applyAlignment="1" applyProtection="1">
      <alignment horizontal="center" vertical="center"/>
      <protection/>
    </xf>
    <xf numFmtId="0" fontId="62" fillId="0" borderId="1" xfId="0" applyFont="1" applyBorder="1" applyAlignment="1" applyProtection="1">
      <alignment horizontal="center"/>
      <protection/>
    </xf>
    <xf numFmtId="174" fontId="0" fillId="5" borderId="1" xfId="0" applyNumberFormat="1" applyFill="1" applyBorder="1" applyAlignment="1" applyProtection="1">
      <alignment horizontal="center"/>
      <protection/>
    </xf>
    <xf numFmtId="174" fontId="0" fillId="0" borderId="15" xfId="0" applyNumberFormat="1" applyBorder="1" applyAlignment="1" applyProtection="1">
      <alignment horizontal="center"/>
      <protection locked="0"/>
    </xf>
    <xf numFmtId="174" fontId="57" fillId="0" borderId="5" xfId="0" applyNumberFormat="1" applyFont="1" applyFill="1" applyBorder="1" applyAlignment="1" applyProtection="1">
      <alignment horizontal="right" vertical="top"/>
      <protection/>
    </xf>
    <xf numFmtId="174" fontId="0" fillId="5" borderId="74" xfId="0" applyNumberFormat="1" applyFill="1" applyBorder="1" applyAlignment="1" applyProtection="1">
      <alignment horizontal="center"/>
      <protection/>
    </xf>
    <xf numFmtId="174" fontId="0" fillId="5" borderId="152" xfId="0" applyNumberFormat="1" applyFill="1" applyBorder="1" applyAlignment="1" applyProtection="1">
      <alignment horizontal="center"/>
      <protection/>
    </xf>
    <xf numFmtId="174" fontId="0" fillId="5" borderId="75" xfId="0" applyNumberFormat="1" applyFill="1" applyBorder="1" applyAlignment="1" applyProtection="1">
      <alignment horizontal="center"/>
      <protection/>
    </xf>
    <xf numFmtId="2" fontId="0" fillId="0" borderId="56" xfId="0" applyNumberFormat="1" applyBorder="1" applyAlignment="1" applyProtection="1">
      <alignment horizontal="center"/>
      <protection/>
    </xf>
    <xf numFmtId="174" fontId="10" fillId="15" borderId="20" xfId="0" applyNumberFormat="1" applyFont="1" applyFill="1" applyBorder="1" applyAlignment="1" applyProtection="1">
      <alignment horizontal="center"/>
      <protection/>
    </xf>
    <xf numFmtId="174" fontId="10" fillId="15" borderId="1" xfId="0" applyNumberFormat="1" applyFont="1" applyFill="1" applyBorder="1" applyAlignment="1" applyProtection="1">
      <alignment horizontal="center"/>
      <protection/>
    </xf>
    <xf numFmtId="174" fontId="0" fillId="0" borderId="20" xfId="0" applyNumberFormat="1" applyFont="1" applyFill="1" applyBorder="1" applyAlignment="1" applyProtection="1">
      <alignment horizontal="center"/>
      <protection locked="0"/>
    </xf>
    <xf numFmtId="174" fontId="0" fillId="0" borderId="1" xfId="0" applyNumberFormat="1" applyFont="1" applyFill="1" applyBorder="1" applyAlignment="1" applyProtection="1">
      <alignment horizontal="center"/>
      <protection locked="0"/>
    </xf>
    <xf numFmtId="0" fontId="181" fillId="0" borderId="0" xfId="0" applyFont="1" applyAlignment="1" applyProtection="1">
      <alignment horizontal="right" vertical="top"/>
      <protection/>
    </xf>
    <xf numFmtId="174" fontId="18" fillId="0" borderId="0" xfId="0" applyNumberFormat="1" applyFont="1" applyAlignment="1" applyProtection="1">
      <alignment horizontal="left"/>
      <protection/>
    </xf>
    <xf numFmtId="0" fontId="182" fillId="0" borderId="0" xfId="0" applyFont="1" applyAlignment="1">
      <alignment/>
    </xf>
    <xf numFmtId="0" fontId="183" fillId="0" borderId="0" xfId="0" applyFont="1" applyAlignment="1">
      <alignment/>
    </xf>
    <xf numFmtId="0" fontId="13" fillId="0" borderId="0" xfId="0" applyFont="1" applyAlignment="1">
      <alignment/>
    </xf>
    <xf numFmtId="0" fontId="184" fillId="0" borderId="0" xfId="0" applyFont="1" applyAlignment="1">
      <alignment/>
    </xf>
    <xf numFmtId="0" fontId="104" fillId="0" borderId="0" xfId="0" applyFont="1" applyAlignment="1">
      <alignment/>
    </xf>
    <xf numFmtId="175" fontId="105" fillId="0" borderId="0" xfId="0" applyNumberFormat="1" applyFont="1" applyAlignment="1" applyProtection="1">
      <alignment horizontal="left"/>
      <protection/>
    </xf>
    <xf numFmtId="2" fontId="0" fillId="0" borderId="15" xfId="0" applyNumberFormat="1" applyBorder="1" applyAlignment="1" applyProtection="1">
      <alignment horizontal="center"/>
      <protection locked="0"/>
    </xf>
    <xf numFmtId="2" fontId="0" fillId="0" borderId="20" xfId="0" applyNumberFormat="1" applyBorder="1" applyAlignment="1" applyProtection="1">
      <alignment horizontal="center"/>
      <protection locked="0"/>
    </xf>
    <xf numFmtId="0" fontId="151" fillId="0" borderId="0" xfId="0" applyFont="1" applyBorder="1" applyAlignment="1" applyProtection="1">
      <alignment horizontal="center"/>
      <protection/>
    </xf>
    <xf numFmtId="175" fontId="152" fillId="0" borderId="82" xfId="0" applyNumberFormat="1" applyFont="1" applyBorder="1" applyAlignment="1" applyProtection="1">
      <alignment horizontal="center"/>
      <protection/>
    </xf>
    <xf numFmtId="0" fontId="140"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Alignment="1" applyProtection="1">
      <alignment/>
      <protection/>
    </xf>
    <xf numFmtId="0" fontId="20" fillId="0" borderId="0" xfId="27" applyAlignment="1">
      <alignment vertical="top"/>
    </xf>
    <xf numFmtId="0" fontId="186" fillId="0" borderId="0" xfId="27" applyFont="1" applyAlignment="1">
      <alignment vertical="top"/>
    </xf>
    <xf numFmtId="0" fontId="1" fillId="0" borderId="0" xfId="0" applyFont="1" applyFill="1" applyBorder="1" applyAlignment="1">
      <alignment horizontal="center"/>
    </xf>
    <xf numFmtId="0" fontId="0" fillId="0" borderId="0" xfId="0" applyFont="1" applyFill="1" applyBorder="1" applyAlignment="1">
      <alignment/>
    </xf>
    <xf numFmtId="0" fontId="1" fillId="0" borderId="0" xfId="0" applyFont="1" applyFill="1" applyBorder="1" applyAlignment="1">
      <alignment horizontal="right"/>
    </xf>
    <xf numFmtId="0" fontId="0" fillId="0" borderId="0" xfId="0" applyFont="1" applyFill="1" applyBorder="1" applyAlignment="1">
      <alignment horizontal="center"/>
    </xf>
    <xf numFmtId="2" fontId="0" fillId="0" borderId="0" xfId="0" applyNumberFormat="1" applyFont="1" applyFill="1" applyBorder="1" applyAlignment="1">
      <alignment/>
    </xf>
    <xf numFmtId="2" fontId="1" fillId="0" borderId="0" xfId="0" applyNumberFormat="1" applyFont="1" applyFill="1" applyBorder="1" applyAlignment="1">
      <alignment/>
    </xf>
    <xf numFmtId="0" fontId="0" fillId="0" borderId="0" xfId="0" applyFont="1" applyAlignment="1">
      <alignment/>
    </xf>
    <xf numFmtId="0" fontId="15" fillId="0" borderId="0" xfId="27" applyFont="1" applyBorder="1" applyAlignment="1">
      <alignment horizontal="left"/>
    </xf>
    <xf numFmtId="174" fontId="1" fillId="11" borderId="1" xfId="0" applyNumberFormat="1" applyFont="1" applyFill="1" applyBorder="1" applyAlignment="1">
      <alignment horizontal="center"/>
    </xf>
    <xf numFmtId="174" fontId="0" fillId="11" borderId="1" xfId="0" applyNumberFormat="1" applyFont="1" applyFill="1" applyBorder="1" applyAlignment="1">
      <alignment horizontal="center"/>
    </xf>
    <xf numFmtId="2" fontId="1" fillId="4" borderId="22" xfId="0" applyNumberFormat="1" applyFont="1" applyFill="1" applyBorder="1" applyAlignment="1" applyProtection="1">
      <alignment horizontal="center"/>
      <protection/>
    </xf>
    <xf numFmtId="2" fontId="1" fillId="4" borderId="8" xfId="0" applyNumberFormat="1" applyFont="1" applyFill="1" applyBorder="1" applyAlignment="1" applyProtection="1">
      <alignment horizontal="center"/>
      <protection/>
    </xf>
    <xf numFmtId="2" fontId="1" fillId="4" borderId="82" xfId="0" applyNumberFormat="1" applyFont="1" applyFill="1" applyBorder="1" applyAlignment="1" applyProtection="1">
      <alignment horizontal="center"/>
      <protection/>
    </xf>
    <xf numFmtId="175" fontId="152" fillId="0" borderId="22" xfId="0" applyNumberFormat="1" applyFont="1" applyBorder="1" applyAlignment="1" applyProtection="1">
      <alignment horizontal="center"/>
      <protection/>
    </xf>
    <xf numFmtId="175" fontId="152" fillId="0" borderId="8" xfId="0" applyNumberFormat="1" applyFont="1" applyBorder="1" applyAlignment="1" applyProtection="1">
      <alignment horizontal="center"/>
      <protection/>
    </xf>
    <xf numFmtId="2" fontId="0" fillId="11" borderId="1" xfId="0" applyNumberFormat="1" applyFont="1" applyFill="1" applyBorder="1" applyAlignment="1" applyProtection="1">
      <alignment horizontal="center"/>
      <protection locked="0"/>
    </xf>
    <xf numFmtId="0" fontId="0" fillId="11" borderId="1" xfId="0" applyFont="1" applyFill="1" applyBorder="1" applyAlignment="1" applyProtection="1">
      <alignment horizontal="center"/>
      <protection locked="0"/>
    </xf>
    <xf numFmtId="175" fontId="0" fillId="11" borderId="1" xfId="0" applyNumberFormat="1" applyFont="1" applyFill="1" applyBorder="1" applyAlignment="1" applyProtection="1">
      <alignment horizontal="center"/>
      <protection locked="0"/>
    </xf>
    <xf numFmtId="0" fontId="0" fillId="0" borderId="0" xfId="0" applyBorder="1" applyAlignment="1">
      <alignment horizontal="right"/>
    </xf>
    <xf numFmtId="0" fontId="1" fillId="0" borderId="0" xfId="0" applyFont="1" applyBorder="1" applyAlignment="1" applyProtection="1">
      <alignment horizontal="center"/>
      <protection locked="0"/>
    </xf>
    <xf numFmtId="0" fontId="0" fillId="0" borderId="0" xfId="0" applyFont="1" applyBorder="1" applyAlignment="1">
      <alignment horizontal="right"/>
    </xf>
    <xf numFmtId="0" fontId="0" fillId="0" borderId="0" xfId="0" applyFill="1" applyBorder="1" applyAlignment="1">
      <alignment horizontal="right"/>
    </xf>
    <xf numFmtId="174" fontId="1" fillId="0" borderId="0" xfId="0" applyNumberFormat="1" applyFont="1" applyFill="1" applyBorder="1" applyAlignment="1" applyProtection="1">
      <alignment horizontal="center"/>
      <protection locked="0"/>
    </xf>
    <xf numFmtId="0" fontId="15" fillId="0" borderId="0" xfId="0" applyFont="1" applyFill="1" applyBorder="1" applyAlignment="1">
      <alignment horizontal="right"/>
    </xf>
    <xf numFmtId="0" fontId="187" fillId="0" borderId="0" xfId="27" applyFont="1" applyBorder="1" applyAlignment="1">
      <alignment horizontal="left"/>
    </xf>
    <xf numFmtId="0" fontId="188" fillId="0" borderId="0" xfId="0" applyFont="1" applyFill="1" applyAlignment="1">
      <alignment horizontal="left"/>
    </xf>
    <xf numFmtId="0" fontId="153" fillId="0" borderId="0" xfId="0" applyFont="1" applyAlignment="1" applyProtection="1">
      <alignment horizontal="center" vertical="top"/>
      <protection/>
    </xf>
    <xf numFmtId="0" fontId="75" fillId="0" borderId="0" xfId="0" applyFont="1" applyBorder="1" applyAlignment="1" applyProtection="1">
      <alignment horizontal="left" vertical="center"/>
      <protection/>
    </xf>
    <xf numFmtId="0" fontId="10" fillId="0" borderId="0" xfId="0" applyFont="1" applyAlignment="1" applyProtection="1">
      <alignment horizontal="right" vertical="center"/>
      <protection/>
    </xf>
    <xf numFmtId="0" fontId="0" fillId="0" borderId="153" xfId="0" applyBorder="1" applyAlignment="1" applyProtection="1">
      <alignment horizontal="center"/>
      <protection/>
    </xf>
    <xf numFmtId="0" fontId="0" fillId="0" borderId="154" xfId="0" applyBorder="1" applyAlignment="1" applyProtection="1">
      <alignment horizontal="center"/>
      <protection/>
    </xf>
    <xf numFmtId="0" fontId="0" fillId="0" borderId="155" xfId="0" applyBorder="1" applyAlignment="1" applyProtection="1">
      <alignment horizontal="center"/>
      <protection/>
    </xf>
    <xf numFmtId="0" fontId="0" fillId="5" borderId="1" xfId="0" applyFill="1" applyBorder="1" applyAlignment="1" applyProtection="1">
      <alignment horizontal="center"/>
      <protection/>
    </xf>
    <xf numFmtId="0" fontId="19" fillId="0" borderId="1" xfId="0" applyFont="1" applyBorder="1" applyAlignment="1" applyProtection="1">
      <alignment horizontal="center"/>
      <protection locked="0"/>
    </xf>
    <xf numFmtId="0" fontId="1" fillId="5" borderId="1" xfId="0" applyFont="1" applyFill="1" applyBorder="1" applyAlignment="1" applyProtection="1">
      <alignment horizontal="center"/>
      <protection/>
    </xf>
    <xf numFmtId="0" fontId="60" fillId="0" borderId="0" xfId="0" applyFont="1" applyAlignment="1" applyProtection="1">
      <alignment horizontal="center" vertical="center"/>
      <protection/>
    </xf>
    <xf numFmtId="0" fontId="1" fillId="0" borderId="0" xfId="0" applyFont="1" applyAlignment="1" applyProtection="1">
      <alignment horizontal="left"/>
      <protection/>
    </xf>
    <xf numFmtId="0" fontId="19" fillId="5" borderId="22" xfId="0" applyFont="1" applyFill="1" applyBorder="1" applyAlignment="1" applyProtection="1">
      <alignment horizontal="center"/>
      <protection/>
    </xf>
    <xf numFmtId="0" fontId="19" fillId="5" borderId="8" xfId="0" applyFont="1" applyFill="1" applyBorder="1" applyAlignment="1" applyProtection="1">
      <alignment horizontal="center"/>
      <protection/>
    </xf>
    <xf numFmtId="0" fontId="19" fillId="5" borderId="82" xfId="0" applyFont="1" applyFill="1" applyBorder="1" applyAlignment="1" applyProtection="1">
      <alignment horizontal="center"/>
      <protection/>
    </xf>
    <xf numFmtId="2" fontId="0" fillId="0" borderId="1" xfId="0" applyNumberFormat="1" applyBorder="1" applyAlignment="1" applyProtection="1">
      <alignment horizontal="center"/>
      <protection locked="0"/>
    </xf>
    <xf numFmtId="0" fontId="0" fillId="0" borderId="7" xfId="0" applyBorder="1" applyAlignment="1" applyProtection="1">
      <alignment horizontal="center"/>
      <protection/>
    </xf>
    <xf numFmtId="0" fontId="0" fillId="5" borderId="1" xfId="0" applyFont="1" applyFill="1" applyBorder="1" applyAlignment="1" applyProtection="1">
      <alignment horizontal="center"/>
      <protection/>
    </xf>
    <xf numFmtId="0" fontId="1" fillId="0" borderId="22" xfId="0" applyFont="1" applyBorder="1" applyAlignment="1" applyProtection="1">
      <alignment horizontal="center"/>
      <protection/>
    </xf>
    <xf numFmtId="0" fontId="1" fillId="0" borderId="8" xfId="0" applyFont="1" applyBorder="1" applyAlignment="1" applyProtection="1">
      <alignment horizontal="center"/>
      <protection/>
    </xf>
    <xf numFmtId="0" fontId="1" fillId="0" borderId="82" xfId="0" applyFont="1" applyBorder="1" applyAlignment="1" applyProtection="1">
      <alignment horizontal="center"/>
      <protection/>
    </xf>
    <xf numFmtId="175" fontId="87" fillId="0" borderId="7" xfId="0" applyNumberFormat="1" applyFont="1" applyBorder="1" applyAlignment="1" applyProtection="1">
      <alignment horizontal="center" vertical="center"/>
      <protection/>
    </xf>
    <xf numFmtId="0" fontId="15" fillId="0" borderId="5" xfId="0" applyFont="1" applyBorder="1" applyAlignment="1">
      <alignment horizontal="center"/>
    </xf>
    <xf numFmtId="0" fontId="133" fillId="11" borderId="0" xfId="0" applyFont="1" applyFill="1" applyAlignment="1">
      <alignment horizontal="center"/>
    </xf>
    <xf numFmtId="0" fontId="25" fillId="0" borderId="0" xfId="0" applyFont="1" applyAlignment="1">
      <alignment horizontal="center"/>
    </xf>
    <xf numFmtId="0" fontId="19" fillId="5" borderId="0" xfId="0" applyFont="1" applyFill="1" applyAlignment="1">
      <alignment horizontal="left"/>
    </xf>
    <xf numFmtId="0" fontId="10" fillId="0" borderId="0" xfId="0" applyFont="1" applyAlignment="1">
      <alignment horizontal="center"/>
    </xf>
    <xf numFmtId="0" fontId="0" fillId="0" borderId="0" xfId="0" applyAlignment="1">
      <alignment horizontal="center"/>
    </xf>
    <xf numFmtId="0" fontId="20" fillId="0" borderId="22" xfId="27" applyBorder="1" applyAlignment="1">
      <alignment horizontal="center"/>
    </xf>
    <xf numFmtId="0" fontId="20" fillId="0" borderId="82" xfId="27" applyBorder="1" applyAlignment="1">
      <alignment horizontal="center"/>
    </xf>
    <xf numFmtId="0" fontId="54" fillId="6" borderId="0" xfId="0" applyFont="1" applyFill="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37" fillId="0" borderId="17" xfId="0" applyFont="1" applyFill="1" applyBorder="1" applyAlignment="1">
      <alignment horizontal="center"/>
    </xf>
    <xf numFmtId="0" fontId="0" fillId="0" borderId="7" xfId="0" applyFont="1" applyFill="1" applyBorder="1" applyAlignment="1">
      <alignment horizontal="center"/>
    </xf>
    <xf numFmtId="0" fontId="33" fillId="0" borderId="0" xfId="0" applyFont="1" applyAlignment="1" applyProtection="1">
      <alignment horizontal="center"/>
      <protection/>
    </xf>
    <xf numFmtId="0" fontId="43" fillId="0" borderId="0" xfId="0" applyFont="1" applyAlignment="1">
      <alignment horizontal="left"/>
    </xf>
    <xf numFmtId="0" fontId="43" fillId="0" borderId="0" xfId="0" applyFont="1" applyAlignment="1" quotePrefix="1">
      <alignment horizontal="left"/>
    </xf>
    <xf numFmtId="0" fontId="189" fillId="0" borderId="0" xfId="0" applyFont="1" applyAlignment="1">
      <alignment horizontal="center"/>
    </xf>
    <xf numFmtId="0" fontId="149" fillId="0" borderId="0" xfId="0" applyFont="1" applyAlignment="1">
      <alignment horizontal="center"/>
    </xf>
    <xf numFmtId="0" fontId="168" fillId="15" borderId="1" xfId="0" applyFont="1" applyFill="1" applyBorder="1" applyAlignment="1">
      <alignment horizontal="center"/>
    </xf>
    <xf numFmtId="0" fontId="0" fillId="0" borderId="0" xfId="0" applyBorder="1" applyAlignment="1">
      <alignment horizontal="center"/>
    </xf>
    <xf numFmtId="0" fontId="0" fillId="0" borderId="103"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28" xfId="0" applyBorder="1" applyAlignment="1">
      <alignment horizontal="center"/>
    </xf>
    <xf numFmtId="0" fontId="0" fillId="0" borderId="98" xfId="0" applyBorder="1" applyAlignment="1">
      <alignment horizontal="center"/>
    </xf>
    <xf numFmtId="0" fontId="0" fillId="0" borderId="131" xfId="0" applyBorder="1" applyAlignment="1">
      <alignment horizontal="center"/>
    </xf>
    <xf numFmtId="2" fontId="16" fillId="0" borderId="0" xfId="0" applyNumberFormat="1" applyFont="1" applyAlignment="1">
      <alignment horizontal="center"/>
    </xf>
    <xf numFmtId="0" fontId="16" fillId="0" borderId="0" xfId="0" applyFont="1" applyAlignment="1">
      <alignment horizontal="center" vertical="center" textRotation="46"/>
    </xf>
    <xf numFmtId="0" fontId="0" fillId="0" borderId="89" xfId="0" applyBorder="1" applyAlignment="1">
      <alignment horizontal="center"/>
    </xf>
    <xf numFmtId="0" fontId="16" fillId="0" borderId="0" xfId="0" applyFont="1" applyBorder="1" applyAlignment="1">
      <alignment horizontal="center"/>
    </xf>
    <xf numFmtId="0" fontId="25" fillId="0" borderId="159" xfId="0" applyFont="1" applyBorder="1" applyAlignment="1">
      <alignment horizontal="center"/>
    </xf>
    <xf numFmtId="2" fontId="0" fillId="0" borderId="0" xfId="0" applyNumberFormat="1" applyAlignment="1">
      <alignment horizontal="center"/>
    </xf>
    <xf numFmtId="0" fontId="0" fillId="0" borderId="160" xfId="0" applyBorder="1" applyAlignment="1">
      <alignment horizontal="center"/>
    </xf>
  </cellXfs>
  <cellStyles count="20">
    <cellStyle name="Normal" xfId="0"/>
    <cellStyle name="Comma [0]_draftsurv Slite 140700" xfId="15"/>
    <cellStyle name="Comma [0]_HydroTables" xfId="16"/>
    <cellStyle name="Comma [0]_Load Slite 140700.xls Chart 1" xfId="17"/>
    <cellStyle name="Comma_draftsurv Slite 140700" xfId="18"/>
    <cellStyle name="Comma_HydroTables" xfId="19"/>
    <cellStyle name="Comma_Load Slite 140700.xls Chart 1" xfId="20"/>
    <cellStyle name="Currency [0]_draftsurv Slite 140700" xfId="21"/>
    <cellStyle name="Currency [0]_HydroTables" xfId="22"/>
    <cellStyle name="Currency [0]_Load Slite 140700.xls Chart 1" xfId="23"/>
    <cellStyle name="Currency_draftsurv Slite 140700" xfId="24"/>
    <cellStyle name="Currency_HydroTables" xfId="25"/>
    <cellStyle name="Currency_Load Slite 140700.xls Chart 1" xfId="26"/>
    <cellStyle name="Hyperlink" xfId="27"/>
    <cellStyle name="Currency" xfId="28"/>
    <cellStyle name="Currency [0]" xfId="29"/>
    <cellStyle name="Followed Hyperlink" xfId="30"/>
    <cellStyle name="Percent" xfId="31"/>
    <cellStyle name="Comma" xfId="32"/>
    <cellStyle name="Comma [0]" xfId="33"/>
  </cellStyles>
  <dxfs count="8">
    <dxf>
      <font>
        <b/>
        <i val="0"/>
        <color rgb="FFFF0000"/>
      </font>
      <border/>
    </dxf>
    <dxf>
      <font>
        <b/>
        <i val="0"/>
        <color rgb="FF0000FF"/>
      </font>
      <border/>
    </dxf>
    <dxf>
      <font>
        <color auto="1"/>
      </font>
      <fill>
        <patternFill patternType="solid">
          <fgColor rgb="FFFF0000"/>
          <bgColor rgb="FFFF0000"/>
        </patternFill>
      </fill>
      <border/>
    </dxf>
    <dxf>
      <font>
        <color rgb="FFFFFFFF"/>
      </font>
      <border/>
    </dxf>
    <dxf>
      <font>
        <b/>
        <i val="0"/>
        <color rgb="FF000000"/>
      </font>
      <fill>
        <patternFill>
          <bgColor rgb="FFFF0000"/>
        </patternFill>
      </fill>
      <border/>
    </dxf>
    <dxf>
      <font>
        <color rgb="FFC0C0C0"/>
      </font>
      <border/>
    </dxf>
    <dxf>
      <font>
        <b/>
        <i val="0"/>
        <color rgb="FF000080"/>
      </font>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Statical Stability Curve</a:t>
            </a:r>
          </a:p>
        </c:rich>
      </c:tx>
      <c:layout/>
      <c:spPr>
        <a:noFill/>
        <a:ln>
          <a:noFill/>
        </a:ln>
      </c:spPr>
    </c:title>
    <c:plotArea>
      <c:layout/>
      <c:lineChart>
        <c:grouping val="standard"/>
        <c:varyColors val="0"/>
        <c:ser>
          <c:idx val="1"/>
          <c:order val="0"/>
          <c:tx>
            <c:strRef>
              <c:f>GrainStab!$B$18</c:f>
              <c:strCache>
                <c:ptCount val="1"/>
                <c:pt idx="0">
                  <c:v>Righting Lever (G'Z)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GrainStab!$C$18:$I$18</c:f>
              <c:numCache>
                <c:ptCount val="7"/>
                <c:pt idx="0">
                  <c:v>0</c:v>
                </c:pt>
                <c:pt idx="1">
                  <c:v>0.22786236516358385</c:v>
                </c:pt>
                <c:pt idx="2">
                  <c:v>0.37778271776262984</c:v>
                </c:pt>
                <c:pt idx="3">
                  <c:v>0.5061073393502498</c:v>
                </c:pt>
                <c:pt idx="4">
                  <c:v>0.6367095671326521</c:v>
                </c:pt>
                <c:pt idx="5">
                  <c:v>0.5834559929311038</c:v>
                </c:pt>
                <c:pt idx="6">
                  <c:v>0.37646002503916676</c:v>
                </c:pt>
              </c:numCache>
            </c:numRef>
          </c:val>
          <c:smooth val="1"/>
        </c:ser>
        <c:axId val="5410905"/>
        <c:axId val="48698146"/>
      </c:lineChart>
      <c:catAx>
        <c:axId val="5410905"/>
        <c:scaling>
          <c:orientation val="minMax"/>
        </c:scaling>
        <c:axPos val="b"/>
        <c:title>
          <c:tx>
            <c:rich>
              <a:bodyPr vert="horz" rot="0" anchor="ctr"/>
              <a:lstStyle/>
              <a:p>
                <a:pPr algn="ctr">
                  <a:defRPr/>
                </a:pPr>
                <a:r>
                  <a:rPr lang="en-US" cap="none" sz="575" b="1" i="0" u="none" baseline="0"/>
                  <a:t>Heel, Degrees</a:t>
                </a:r>
              </a:p>
            </c:rich>
          </c:tx>
          <c:layout/>
          <c:overlay val="0"/>
          <c:spPr>
            <a:noFill/>
            <a:ln>
              <a:noFill/>
            </a:ln>
          </c:spPr>
        </c:title>
        <c:minorGridlines/>
        <c:delete val="0"/>
        <c:numFmt formatCode="General" sourceLinked="1"/>
        <c:majorTickMark val="out"/>
        <c:minorTickMark val="none"/>
        <c:tickLblPos val="nextTo"/>
        <c:spPr>
          <a:ln w="12700">
            <a:solidFill/>
          </a:ln>
        </c:spPr>
        <c:txPr>
          <a:bodyPr/>
          <a:lstStyle/>
          <a:p>
            <a:pPr>
              <a:defRPr lang="en-US" cap="none" sz="800" b="1" i="0" u="none" baseline="0"/>
            </a:pPr>
          </a:p>
        </c:txPr>
        <c:crossAx val="48698146"/>
        <c:crosses val="autoZero"/>
        <c:auto val="1"/>
        <c:lblOffset val="100"/>
        <c:tickLblSkip val="10"/>
        <c:noMultiLvlLbl val="0"/>
      </c:catAx>
      <c:valAx>
        <c:axId val="48698146"/>
        <c:scaling>
          <c:orientation val="minMax"/>
          <c:max val="3"/>
        </c:scaling>
        <c:axPos val="l"/>
        <c:title>
          <c:tx>
            <c:rich>
              <a:bodyPr vert="horz" rot="-5400000" anchor="ctr"/>
              <a:lstStyle/>
              <a:p>
                <a:pPr algn="ctr">
                  <a:defRPr/>
                </a:pPr>
                <a:r>
                  <a:rPr lang="en-US" cap="none" sz="575" b="1" i="0" u="none" baseline="0"/>
                  <a:t>Righting Arm</a:t>
                </a:r>
              </a:p>
            </c:rich>
          </c:tx>
          <c:layout/>
          <c:overlay val="0"/>
          <c:spPr>
            <a:noFill/>
            <a:ln>
              <a:noFill/>
            </a:ln>
          </c:spPr>
        </c:title>
        <c:minorGridlines>
          <c:spPr>
            <a:ln w="3175">
              <a:solidFill>
                <a:srgbClr val="C0C0C0"/>
              </a:solidFill>
            </a:ln>
          </c:spPr>
        </c:minorGridlines>
        <c:delete val="0"/>
        <c:numFmt formatCode="General" sourceLinked="1"/>
        <c:majorTickMark val="out"/>
        <c:minorTickMark val="none"/>
        <c:tickLblPos val="nextTo"/>
        <c:txPr>
          <a:bodyPr/>
          <a:lstStyle/>
          <a:p>
            <a:pPr>
              <a:defRPr lang="en-US" cap="none" sz="800" b="1" i="0" u="none" baseline="0"/>
            </a:pPr>
          </a:p>
        </c:txPr>
        <c:crossAx val="5410905"/>
        <c:crossesAt val="1"/>
        <c:crossBetween val="midCat"/>
        <c:dispUnits/>
      </c:valAx>
      <c:spPr>
        <a:solidFill>
          <a:srgbClr val="FFFFFF"/>
        </a:solidFill>
        <a:ln w="12700">
          <a:solidFill/>
        </a:ln>
      </c:spPr>
    </c:plotArea>
    <c:plotVisOnly val="1"/>
    <c:dispBlanksAs val="gap"/>
    <c:showDLblsOverMax val="0"/>
  </c:chart>
  <c:txPr>
    <a:bodyPr vert="horz" rot="0"/>
    <a:lstStyle/>
    <a:p>
      <a:pPr>
        <a:defRPr lang="en-US" cap="none" sz="11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Statical Stability Curve</a:t>
            </a:r>
          </a:p>
        </c:rich>
      </c:tx>
      <c:layout/>
      <c:spPr>
        <a:noFill/>
        <a:ln>
          <a:noFill/>
        </a:ln>
      </c:spPr>
    </c:title>
    <c:plotArea>
      <c:layout/>
      <c:lineChart>
        <c:grouping val="standard"/>
        <c:varyColors val="0"/>
        <c:ser>
          <c:idx val="1"/>
          <c:order val="0"/>
          <c:tx>
            <c:strRef>
              <c:f>GrainStab!$B$18</c:f>
              <c:strCache>
                <c:ptCount val="1"/>
                <c:pt idx="0">
                  <c:v>Righting Lever (G'Z)</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GrainStab!$C$18:$I$18</c:f>
              <c:numCache/>
            </c:numRef>
          </c:val>
          <c:smooth val="1"/>
        </c:ser>
        <c:axId val="35630131"/>
        <c:axId val="52235724"/>
      </c:lineChart>
      <c:catAx>
        <c:axId val="35630131"/>
        <c:scaling>
          <c:orientation val="minMax"/>
        </c:scaling>
        <c:axPos val="b"/>
        <c:title>
          <c:tx>
            <c:rich>
              <a:bodyPr vert="horz" rot="0" anchor="ctr"/>
              <a:lstStyle/>
              <a:p>
                <a:pPr algn="ctr">
                  <a:defRPr/>
                </a:pPr>
                <a:r>
                  <a:rPr lang="en-US" cap="none" sz="825" b="1" i="0" u="none" baseline="0"/>
                  <a:t>Heel, Degrees</a:t>
                </a:r>
              </a:p>
            </c:rich>
          </c:tx>
          <c:layout/>
          <c:overlay val="0"/>
          <c:spPr>
            <a:noFill/>
            <a:ln>
              <a:noFill/>
            </a:ln>
          </c:spPr>
        </c:title>
        <c:minorGridlines/>
        <c:delete val="0"/>
        <c:numFmt formatCode="General" sourceLinked="1"/>
        <c:majorTickMark val="out"/>
        <c:minorTickMark val="none"/>
        <c:tickLblPos val="nextTo"/>
        <c:spPr>
          <a:ln w="12700">
            <a:solidFill/>
          </a:ln>
        </c:spPr>
        <c:txPr>
          <a:bodyPr/>
          <a:lstStyle/>
          <a:p>
            <a:pPr>
              <a:defRPr lang="en-US" cap="none" sz="900" b="1" i="0" u="none" baseline="0"/>
            </a:pPr>
          </a:p>
        </c:txPr>
        <c:crossAx val="52235724"/>
        <c:crosses val="autoZero"/>
        <c:auto val="1"/>
        <c:lblOffset val="100"/>
        <c:tickLblSkip val="10"/>
        <c:noMultiLvlLbl val="0"/>
      </c:catAx>
      <c:valAx>
        <c:axId val="52235724"/>
        <c:scaling>
          <c:orientation val="minMax"/>
          <c:max val="3"/>
        </c:scaling>
        <c:axPos val="l"/>
        <c:title>
          <c:tx>
            <c:rich>
              <a:bodyPr vert="horz" rot="-5400000" anchor="ctr"/>
              <a:lstStyle/>
              <a:p>
                <a:pPr algn="ctr">
                  <a:defRPr/>
                </a:pPr>
                <a:r>
                  <a:rPr lang="en-US" cap="none" sz="825" b="1" i="0" u="none" baseline="0"/>
                  <a:t>Righting Arm</a:t>
                </a:r>
              </a:p>
            </c:rich>
          </c:tx>
          <c:layout/>
          <c:overlay val="0"/>
          <c:spPr>
            <a:noFill/>
            <a:ln>
              <a:noFill/>
            </a:ln>
          </c:spPr>
        </c:title>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00" b="1" i="0" u="none" baseline="0"/>
            </a:pPr>
          </a:p>
        </c:txPr>
        <c:crossAx val="35630131"/>
        <c:crossesAt val="1"/>
        <c:crossBetween val="midCat"/>
        <c:dispUnits/>
      </c:valAx>
      <c:spPr>
        <a:solidFill>
          <a:srgbClr val="FFFFFF"/>
        </a:solidFill>
        <a:ln w="12700">
          <a:solidFill/>
        </a:ln>
      </c:spPr>
    </c:plotArea>
    <c:plotVisOnly val="1"/>
    <c:dispBlanksAs val="gap"/>
    <c:showDLblsOverMax val="0"/>
  </c:chart>
  <c:txPr>
    <a:bodyPr vert="horz" rot="0"/>
    <a:lstStyle/>
    <a:p>
      <a:pPr>
        <a:defRPr lang="en-US" cap="none" sz="15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Statical Stability Curve</a:t>
            </a:r>
          </a:p>
        </c:rich>
      </c:tx>
      <c:layout/>
      <c:spPr>
        <a:noFill/>
        <a:ln>
          <a:noFill/>
        </a:ln>
      </c:spPr>
    </c:title>
    <c:plotArea>
      <c:layout/>
      <c:lineChart>
        <c:grouping val="standard"/>
        <c:varyColors val="0"/>
        <c:ser>
          <c:idx val="1"/>
          <c:order val="0"/>
          <c:tx>
            <c:strRef>
              <c:f>GrainStab!$B$18</c:f>
              <c:strCache>
                <c:ptCount val="1"/>
                <c:pt idx="0">
                  <c:v>Righting Lever (G'Z)</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GrainStab!$C$18:$I$18</c:f>
              <c:numCache/>
            </c:numRef>
          </c:val>
          <c:smooth val="1"/>
        </c:ser>
        <c:axId val="359469"/>
        <c:axId val="3235222"/>
      </c:lineChart>
      <c:catAx>
        <c:axId val="359469"/>
        <c:scaling>
          <c:orientation val="minMax"/>
        </c:scaling>
        <c:axPos val="b"/>
        <c:title>
          <c:tx>
            <c:rich>
              <a:bodyPr vert="horz" rot="0" anchor="ctr"/>
              <a:lstStyle/>
              <a:p>
                <a:pPr algn="ctr">
                  <a:defRPr/>
                </a:pPr>
                <a:r>
                  <a:rPr lang="en-US" cap="none" sz="800" b="1" i="0" u="none" baseline="0"/>
                  <a:t>Heel, Degrees</a:t>
                </a:r>
              </a:p>
            </c:rich>
          </c:tx>
          <c:layout/>
          <c:overlay val="0"/>
          <c:spPr>
            <a:noFill/>
            <a:ln>
              <a:noFill/>
            </a:ln>
          </c:spPr>
        </c:title>
        <c:minorGridlines/>
        <c:delete val="0"/>
        <c:numFmt formatCode="@" sourceLinked="0"/>
        <c:majorTickMark val="out"/>
        <c:minorTickMark val="none"/>
        <c:tickLblPos val="nextTo"/>
        <c:spPr>
          <a:ln w="12700">
            <a:solidFill/>
          </a:ln>
        </c:spPr>
        <c:txPr>
          <a:bodyPr/>
          <a:lstStyle/>
          <a:p>
            <a:pPr>
              <a:defRPr lang="en-US" cap="none" sz="900" b="1" i="0" u="none" baseline="0"/>
            </a:pPr>
          </a:p>
        </c:txPr>
        <c:crossAx val="3235222"/>
        <c:crosses val="autoZero"/>
        <c:auto val="1"/>
        <c:lblOffset val="100"/>
        <c:noMultiLvlLbl val="0"/>
      </c:catAx>
      <c:valAx>
        <c:axId val="3235222"/>
        <c:scaling>
          <c:orientation val="minMax"/>
          <c:max val="3"/>
        </c:scaling>
        <c:axPos val="l"/>
        <c:title>
          <c:tx>
            <c:rich>
              <a:bodyPr vert="horz" rot="-5400000" anchor="ctr"/>
              <a:lstStyle/>
              <a:p>
                <a:pPr algn="ctr">
                  <a:defRPr/>
                </a:pPr>
                <a:r>
                  <a:rPr lang="en-US" cap="none" sz="800" b="1" i="0" u="none" baseline="0"/>
                  <a:t>Righting Arm</a:t>
                </a:r>
              </a:p>
            </c:rich>
          </c:tx>
          <c:layout/>
          <c:overlay val="0"/>
          <c:spPr>
            <a:noFill/>
            <a:ln>
              <a:noFill/>
            </a:ln>
          </c:spPr>
        </c:title>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00" b="1" i="0" u="none" baseline="0"/>
            </a:pPr>
          </a:p>
        </c:txPr>
        <c:crossAx val="359469"/>
        <c:crossesAt val="1"/>
        <c:crossBetween val="midCat"/>
        <c:dispUnits/>
      </c:valAx>
      <c:spPr>
        <a:solidFill>
          <a:srgbClr val="FFFFFF"/>
        </a:solidFill>
        <a:ln w="12700">
          <a:solidFill/>
        </a:ln>
      </c:spPr>
    </c:plotArea>
    <c:plotVisOnly val="1"/>
    <c:dispBlanksAs val="gap"/>
    <c:showDLblsOverMax val="0"/>
  </c:chart>
  <c:txPr>
    <a:bodyPr vert="horz" rot="0"/>
    <a:lstStyle/>
    <a:p>
      <a:pPr>
        <a:defRPr lang="en-US" cap="none" sz="15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STATICAL STABILITY DIAGRAM</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stmt!#REF!</c:f>
              <c:strCache>
                <c:ptCount val="1"/>
                <c:pt idx="0">
                  <c:v>1</c:v>
                </c:pt>
              </c:strCache>
            </c:strRef>
          </c:cat>
          <c:val>
            <c:numRef>
              <c:f>stmt!#REF!</c:f>
              <c:numCache>
                <c:ptCount val="1"/>
                <c:pt idx="0">
                  <c:v>1</c:v>
                </c:pt>
              </c:numCache>
            </c:numRef>
          </c:val>
          <c:smooth val="1"/>
        </c:ser>
        <c:axId val="29116999"/>
        <c:axId val="60726400"/>
      </c:lineChart>
      <c:catAx>
        <c:axId val="29116999"/>
        <c:scaling>
          <c:orientation val="minMax"/>
        </c:scaling>
        <c:axPos val="b"/>
        <c:majorGridlines>
          <c:spPr>
            <a:ln w="3175">
              <a:solidFill>
                <a:srgbClr val="00CCFF"/>
              </a:solidFill>
            </a:ln>
          </c:spPr>
        </c:majorGridlines>
        <c:minorGridlines/>
        <c:delete val="0"/>
        <c:numFmt formatCode="General" sourceLinked="1"/>
        <c:majorTickMark val="in"/>
        <c:minorTickMark val="none"/>
        <c:tickLblPos val="nextTo"/>
        <c:crossAx val="60726400"/>
        <c:crosses val="autoZero"/>
        <c:auto val="0"/>
        <c:lblOffset val="100"/>
        <c:noMultiLvlLbl val="0"/>
      </c:catAx>
      <c:valAx>
        <c:axId val="60726400"/>
        <c:scaling>
          <c:orientation val="minMax"/>
        </c:scaling>
        <c:axPos val="l"/>
        <c:majorGridlines/>
        <c:delete val="0"/>
        <c:numFmt formatCode="General" sourceLinked="1"/>
        <c:majorTickMark val="in"/>
        <c:minorTickMark val="none"/>
        <c:tickLblPos val="nextTo"/>
        <c:crossAx val="29116999"/>
        <c:crossesAt val="1"/>
        <c:crossBetween val="midCat"/>
        <c:dispUnits/>
      </c:valAx>
      <c:spPr>
        <a:solidFill>
          <a:srgbClr val="CCFFCC"/>
        </a:solidFill>
        <a:ln w="12700">
          <a:solidFill>
            <a:srgbClr val="FFCC00"/>
          </a:solidFill>
        </a:ln>
      </c:spPr>
    </c:plotArea>
    <c:plotVisOnly val="1"/>
    <c:dispBlanksAs val="gap"/>
    <c:showDLblsOverMax val="0"/>
  </c:chart>
  <c:spPr>
    <a:solidFill>
      <a:srgbClr val="00FFFF"/>
    </a:solidFill>
    <a:ln w="3175">
      <a:solidFill>
        <a:srgbClr val="0066CC"/>
      </a:solid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info!A1" /><Relationship Id="rId2" Type="http://schemas.openxmlformats.org/officeDocument/2006/relationships/hyperlink" Target="#'Ballast &amp; Consumb'!A20" /><Relationship Id="rId3" Type="http://schemas.openxmlformats.org/officeDocument/2006/relationships/image" Target="../media/image8.jpeg" /><Relationship Id="rId4" Type="http://schemas.openxmlformats.org/officeDocument/2006/relationships/hyperlink" Target="#'Ballast &amp; Consumb'!A1" /><Relationship Id="rId5" Type="http://schemas.openxmlformats.org/officeDocument/2006/relationships/hyperlink" Target="#'Ballast &amp; Consumb'!A1" /><Relationship Id="rId6" Type="http://schemas.openxmlformats.org/officeDocument/2006/relationships/image" Target="../media/image10.wmf" /><Relationship Id="rId7" Type="http://schemas.openxmlformats.org/officeDocument/2006/relationships/hyperlink" Target="#GrainStab!A1" /><Relationship Id="rId8" Type="http://schemas.openxmlformats.org/officeDocument/2006/relationships/image" Target="../media/image20.wmf" /><Relationship Id="rId9" Type="http://schemas.openxmlformats.org/officeDocument/2006/relationships/image" Target="../media/image22.wmf" /><Relationship Id="rId10" Type="http://schemas.openxmlformats.org/officeDocument/2006/relationships/hyperlink" Target="A170" TargetMode="External" /><Relationship Id="rId11" Type="http://schemas.openxmlformats.org/officeDocument/2006/relationships/image" Target="../media/image28.jpeg" /><Relationship Id="rId12" Type="http://schemas.openxmlformats.org/officeDocument/2006/relationships/image" Target="../media/image29.jpeg" /><Relationship Id="rId13" Type="http://schemas.openxmlformats.org/officeDocument/2006/relationships/image" Target="../media/image30.jpeg" /><Relationship Id="rId14" Type="http://schemas.openxmlformats.org/officeDocument/2006/relationships/image" Target="../media/image31.jpeg" /><Relationship Id="rId15" Type="http://schemas.openxmlformats.org/officeDocument/2006/relationships/image" Target="../media/image32.jpeg" /><Relationship Id="rId16" Type="http://schemas.openxmlformats.org/officeDocument/2006/relationships/image" Target="../media/image33.jpeg" /><Relationship Id="rId17" Type="http://schemas.openxmlformats.org/officeDocument/2006/relationships/image" Target="../media/image34.jpeg" /><Relationship Id="rId18" Type="http://schemas.openxmlformats.org/officeDocument/2006/relationships/image" Target="../media/image35.jpeg" /><Relationship Id="rId19" Type="http://schemas.openxmlformats.org/officeDocument/2006/relationships/image" Target="../media/image36.jpeg" /><Relationship Id="rId20" Type="http://schemas.openxmlformats.org/officeDocument/2006/relationships/image" Target="../media/image37.jpeg" /><Relationship Id="rId21" Type="http://schemas.openxmlformats.org/officeDocument/2006/relationships/image" Target="../media/image38.jpeg" /><Relationship Id="rId22" Type="http://schemas.openxmlformats.org/officeDocument/2006/relationships/image" Target="../media/image39.jpeg" /><Relationship Id="rId23" Type="http://schemas.openxmlformats.org/officeDocument/2006/relationships/image" Target="../media/image40.jpeg" /><Relationship Id="rId24" Type="http://schemas.openxmlformats.org/officeDocument/2006/relationships/image" Target="../media/image41.jpeg" /><Relationship Id="rId25" Type="http://schemas.openxmlformats.org/officeDocument/2006/relationships/image" Target="../media/image42.jpeg" /><Relationship Id="rId26" Type="http://schemas.openxmlformats.org/officeDocument/2006/relationships/image" Target="../media/image43.jpeg" /><Relationship Id="rId27" Type="http://schemas.openxmlformats.org/officeDocument/2006/relationships/image" Target="../media/image44.jpeg" /><Relationship Id="rId28" Type="http://schemas.openxmlformats.org/officeDocument/2006/relationships/image" Target="../media/image45.jpeg" /><Relationship Id="rId29" Type="http://schemas.openxmlformats.org/officeDocument/2006/relationships/image" Target="../media/image46.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2.wmf" /><Relationship Id="rId2" Type="http://schemas.openxmlformats.org/officeDocument/2006/relationships/hyperlink" Target="#'Ballast &amp; Consumb'!A1" /><Relationship Id="rId3" Type="http://schemas.openxmlformats.org/officeDocument/2006/relationships/hyperlink" Target="#'Ballast &amp; Consumb'!A1" /><Relationship Id="rId4" Type="http://schemas.openxmlformats.org/officeDocument/2006/relationships/hyperlink" Target="#ds!A1" /><Relationship Id="rId5" Type="http://schemas.openxmlformats.org/officeDocument/2006/relationships/image" Target="../media/image53.jpeg" /><Relationship Id="rId6" Type="http://schemas.openxmlformats.org/officeDocument/2006/relationships/image" Target="../media/image5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hyperlink" Target="#'Ballast &amp; Consumb'!A20" /><Relationship Id="rId3" Type="http://schemas.openxmlformats.org/officeDocument/2006/relationships/hyperlink" Target="#'Ballast &amp; Consumb'!A20" /></Relationships>
</file>

<file path=xl/drawings/_rels/drawing2.xml.rels><?xml version="1.0" encoding="utf-8" standalone="yes"?><Relationships xmlns="http://schemas.openxmlformats.org/package/2006/relationships"><Relationship Id="rId1" Type="http://schemas.openxmlformats.org/officeDocument/2006/relationships/hyperlink" Target="#'Ballast &amp; Consumb'!A36" /><Relationship Id="rId2" Type="http://schemas.openxmlformats.org/officeDocument/2006/relationships/image" Target="../media/image47.jpeg" /><Relationship Id="rId3" Type="http://schemas.openxmlformats.org/officeDocument/2006/relationships/image" Target="../media/image48.jpeg" /><Relationship Id="rId4" Type="http://schemas.openxmlformats.org/officeDocument/2006/relationships/image" Target="../media/image49.jpeg" /><Relationship Id="rId5" Type="http://schemas.openxmlformats.org/officeDocument/2006/relationships/image" Target="../media/image50.jpeg" /><Relationship Id="rId6" Type="http://schemas.openxmlformats.org/officeDocument/2006/relationships/image" Target="../media/image51.jpeg" /><Relationship Id="rId7" Type="http://schemas.openxmlformats.org/officeDocument/2006/relationships/image" Target="../media/image5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16.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136</xdr:row>
      <xdr:rowOff>47625</xdr:rowOff>
    </xdr:from>
    <xdr:to>
      <xdr:col>1</xdr:col>
      <xdr:colOff>990600</xdr:colOff>
      <xdr:row>140</xdr:row>
      <xdr:rowOff>0</xdr:rowOff>
    </xdr:to>
    <xdr:sp>
      <xdr:nvSpPr>
        <xdr:cNvPr id="1" name="AutoShape 43"/>
        <xdr:cNvSpPr>
          <a:spLocks/>
        </xdr:cNvSpPr>
      </xdr:nvSpPr>
      <xdr:spPr>
        <a:xfrm>
          <a:off x="590550" y="22564725"/>
          <a:ext cx="790575" cy="600075"/>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78</xdr:row>
      <xdr:rowOff>133350</xdr:rowOff>
    </xdr:from>
    <xdr:to>
      <xdr:col>7</xdr:col>
      <xdr:colOff>0</xdr:colOff>
      <xdr:row>80</xdr:row>
      <xdr:rowOff>123825</xdr:rowOff>
    </xdr:to>
    <xdr:sp>
      <xdr:nvSpPr>
        <xdr:cNvPr id="2" name="AutoShape 27"/>
        <xdr:cNvSpPr>
          <a:spLocks/>
        </xdr:cNvSpPr>
      </xdr:nvSpPr>
      <xdr:spPr>
        <a:xfrm>
          <a:off x="1295400" y="13363575"/>
          <a:ext cx="3790950" cy="314325"/>
        </a:xfrm>
        <a:prstGeom prst="horizontalScroll">
          <a:avLst/>
        </a:prstGeom>
        <a:blipFill>
          <a:blip r:embed="rId11"/>
          <a:srcRect/>
          <a:stretch>
            <a:fillRect/>
          </a:stretch>
        </a:blipFill>
        <a:ln w="9525" cmpd="sng">
          <a:solidFill>
            <a:srgbClr val="000000"/>
          </a:solidFill>
          <a:headEnd type="none"/>
          <a:tailEnd type="none"/>
        </a:ln>
      </xdr:spPr>
      <xdr:txBody>
        <a:bodyPr vertOverflow="clip" wrap="square"/>
        <a:p>
          <a:pPr algn="l">
            <a:defRPr/>
          </a:pPr>
          <a:r>
            <a:rPr lang="en-US" cap="none" sz="1100" b="1" i="0" u="none" baseline="0"/>
            <a:t>Change of Draught due to change of water salinity</a:t>
          </a:r>
        </a:p>
      </xdr:txBody>
    </xdr:sp>
    <xdr:clientData/>
  </xdr:twoCellAnchor>
  <xdr:twoCellAnchor>
    <xdr:from>
      <xdr:col>1</xdr:col>
      <xdr:colOff>981075</xdr:colOff>
      <xdr:row>0</xdr:row>
      <xdr:rowOff>85725</xdr:rowOff>
    </xdr:from>
    <xdr:to>
      <xdr:col>7</xdr:col>
      <xdr:colOff>85725</xdr:colOff>
      <xdr:row>1</xdr:row>
      <xdr:rowOff>190500</xdr:rowOff>
    </xdr:to>
    <xdr:sp>
      <xdr:nvSpPr>
        <xdr:cNvPr id="3" name="AutoShape 15"/>
        <xdr:cNvSpPr>
          <a:spLocks/>
        </xdr:cNvSpPr>
      </xdr:nvSpPr>
      <xdr:spPr>
        <a:xfrm>
          <a:off x="1371600" y="85725"/>
          <a:ext cx="3800475" cy="438150"/>
        </a:xfrm>
        <a:prstGeom prst="ribbon2">
          <a:avLst/>
        </a:prstGeom>
        <a:solidFill>
          <a:srgbClr val="FFFF99"/>
        </a:solidFill>
        <a:ln w="889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73</xdr:row>
      <xdr:rowOff>142875</xdr:rowOff>
    </xdr:from>
    <xdr:to>
      <xdr:col>2</xdr:col>
      <xdr:colOff>180975</xdr:colOff>
      <xdr:row>77</xdr:row>
      <xdr:rowOff>95250</xdr:rowOff>
    </xdr:to>
    <xdr:sp>
      <xdr:nvSpPr>
        <xdr:cNvPr id="4" name="AutoShape 12"/>
        <xdr:cNvSpPr>
          <a:spLocks/>
        </xdr:cNvSpPr>
      </xdr:nvSpPr>
      <xdr:spPr>
        <a:xfrm>
          <a:off x="904875" y="12563475"/>
          <a:ext cx="790575" cy="600075"/>
        </a:xfrm>
        <a:prstGeom prst="bevel">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390525</xdr:colOff>
      <xdr:row>40</xdr:row>
      <xdr:rowOff>19050</xdr:rowOff>
    </xdr:from>
    <xdr:to>
      <xdr:col>5</xdr:col>
      <xdr:colOff>85725</xdr:colOff>
      <xdr:row>41</xdr:row>
      <xdr:rowOff>66675</xdr:rowOff>
    </xdr:to>
    <xdr:sp macro="[0]!AutoShape6_Click">
      <xdr:nvSpPr>
        <xdr:cNvPr id="5" name="AutoShape 6"/>
        <xdr:cNvSpPr>
          <a:spLocks/>
        </xdr:cNvSpPr>
      </xdr:nvSpPr>
      <xdr:spPr>
        <a:xfrm>
          <a:off x="1905000" y="7362825"/>
          <a:ext cx="2295525" cy="219075"/>
        </a:xfrm>
        <a:prstGeom prst="bevel">
          <a:avLst/>
        </a:prstGeom>
        <a:blipFill>
          <a:blip r:embed="rId1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GO TO CARGO STOWAGE SECTION
</a:t>
          </a:r>
        </a:p>
      </xdr:txBody>
    </xdr:sp>
    <xdr:clientData/>
  </xdr:twoCellAnchor>
  <xdr:twoCellAnchor>
    <xdr:from>
      <xdr:col>2</xdr:col>
      <xdr:colOff>266700</xdr:colOff>
      <xdr:row>43</xdr:row>
      <xdr:rowOff>0</xdr:rowOff>
    </xdr:from>
    <xdr:to>
      <xdr:col>5</xdr:col>
      <xdr:colOff>247650</xdr:colOff>
      <xdr:row>49</xdr:row>
      <xdr:rowOff>161925</xdr:rowOff>
    </xdr:to>
    <xdr:sp>
      <xdr:nvSpPr>
        <xdr:cNvPr id="6" name="AutoShape 8"/>
        <xdr:cNvSpPr>
          <a:spLocks/>
        </xdr:cNvSpPr>
      </xdr:nvSpPr>
      <xdr:spPr>
        <a:xfrm>
          <a:off x="1781175" y="7858125"/>
          <a:ext cx="2581275" cy="1228725"/>
        </a:xfrm>
        <a:prstGeom prst="rect"/>
        <a:noFill/>
      </xdr:spPr>
      <xdr:txBody>
        <a:bodyPr fromWordArt="1" wrap="none">
          <a:prstTxWarp prst="textArchUp">
            <a:avLst>
              <a:gd name="adj" fmla="val -53831583"/>
            </a:avLst>
          </a:prstTxWarp>
        </a:bodyPr>
        <a:p>
          <a:pPr algn="ctr"/>
          <a:r>
            <a:rPr sz="2400" kern="10" spc="0">
              <a:ln w="12700" cmpd="sng">
                <a:solidFill>
                  <a:srgbClr val="000000"/>
                </a:solidFill>
                <a:headEnd type="none"/>
                <a:tailEnd type="none"/>
              </a:ln>
              <a:solidFill>
                <a:srgbClr val="0000FF"/>
              </a:solidFill>
              <a:latin typeface="Hyena"/>
              <a:cs typeface="Hyena"/>
            </a:rPr>
            <a:t>Calculated Loading Condition
</a:t>
          </a:r>
        </a:p>
      </xdr:txBody>
    </xdr:sp>
    <xdr:clientData/>
  </xdr:twoCellAnchor>
  <xdr:twoCellAnchor>
    <xdr:from>
      <xdr:col>2</xdr:col>
      <xdr:colOff>495300</xdr:colOff>
      <xdr:row>46</xdr:row>
      <xdr:rowOff>180975</xdr:rowOff>
    </xdr:from>
    <xdr:to>
      <xdr:col>4</xdr:col>
      <xdr:colOff>571500</xdr:colOff>
      <xdr:row>48</xdr:row>
      <xdr:rowOff>0</xdr:rowOff>
    </xdr:to>
    <xdr:sp>
      <xdr:nvSpPr>
        <xdr:cNvPr id="7" name="AutoShape 9"/>
        <xdr:cNvSpPr>
          <a:spLocks/>
        </xdr:cNvSpPr>
      </xdr:nvSpPr>
      <xdr:spPr>
        <a:xfrm>
          <a:off x="2009775" y="8543925"/>
          <a:ext cx="2038350" cy="257175"/>
        </a:xfrm>
        <a:prstGeom prst="ellipseRibbon">
          <a:avLst/>
        </a:prstGeom>
        <a:blipFill>
          <a:blip r:embed="rId13"/>
          <a:srcRect/>
          <a:stretch>
            <a:fillRect/>
          </a:stretch>
        </a:blipFill>
        <a:ln w="9525" cmpd="sng">
          <a:solidFill>
            <a:srgbClr val="000000"/>
          </a:solidFill>
          <a:headEnd type="none"/>
          <a:tailEnd type="none"/>
        </a:ln>
      </xdr:spPr>
      <xdr:txBody>
        <a:bodyPr vertOverflow="clip" wrap="square"/>
        <a:p>
          <a:pPr algn="l">
            <a:defRPr/>
          </a:pPr>
          <a:r>
            <a:rPr lang="en-US" cap="none" sz="1000" b="1" i="1" u="none" baseline="0">
              <a:solidFill>
                <a:srgbClr val="800000"/>
              </a:solidFill>
            </a:rPr>
            <a:t>m..v "Bewa"</a:t>
          </a:r>
          <a:r>
            <a:rPr lang="en-US" cap="none" sz="1000" b="1" i="1" u="none" baseline="0">
              <a:solidFill>
                <a:srgbClr val="800000"/>
              </a:solidFill>
            </a:rPr>
            <a:t>
m..v "BEWA"</a:t>
          </a:r>
        </a:p>
      </xdr:txBody>
    </xdr:sp>
    <xdr:clientData/>
  </xdr:twoCellAnchor>
  <xdr:twoCellAnchor>
    <xdr:from>
      <xdr:col>1</xdr:col>
      <xdr:colOff>228600</xdr:colOff>
      <xdr:row>70</xdr:row>
      <xdr:rowOff>142875</xdr:rowOff>
    </xdr:from>
    <xdr:to>
      <xdr:col>2</xdr:col>
      <xdr:colOff>438150</xdr:colOff>
      <xdr:row>73</xdr:row>
      <xdr:rowOff>123825</xdr:rowOff>
    </xdr:to>
    <xdr:sp>
      <xdr:nvSpPr>
        <xdr:cNvPr id="8" name="AutoShape 13"/>
        <xdr:cNvSpPr>
          <a:spLocks/>
        </xdr:cNvSpPr>
      </xdr:nvSpPr>
      <xdr:spPr>
        <a:xfrm>
          <a:off x="619125" y="12077700"/>
          <a:ext cx="1333500" cy="466725"/>
        </a:xfrm>
        <a:prstGeom prst="downArrowCallout">
          <a:avLst/>
        </a:prstGeom>
        <a:blipFill>
          <a:blip r:embed="rId14"/>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CLICK TO PRINT OUT "STABILITY" SHEET</a:t>
          </a:r>
        </a:p>
      </xdr:txBody>
    </xdr:sp>
    <xdr:clientData/>
  </xdr:twoCellAnchor>
  <xdr:twoCellAnchor>
    <xdr:from>
      <xdr:col>2</xdr:col>
      <xdr:colOff>847725</xdr:colOff>
      <xdr:row>0</xdr:row>
      <xdr:rowOff>104775</xdr:rowOff>
    </xdr:from>
    <xdr:to>
      <xdr:col>5</xdr:col>
      <xdr:colOff>66675</xdr:colOff>
      <xdr:row>1</xdr:row>
      <xdr:rowOff>114300</xdr:rowOff>
    </xdr:to>
    <xdr:sp>
      <xdr:nvSpPr>
        <xdr:cNvPr id="9" name="AutoShape 14">
          <a:hlinkClick r:id="rId1"/>
        </xdr:cNvPr>
        <xdr:cNvSpPr>
          <a:spLocks/>
        </xdr:cNvSpPr>
      </xdr:nvSpPr>
      <xdr:spPr>
        <a:xfrm>
          <a:off x="2362200" y="104775"/>
          <a:ext cx="1819275" cy="342900"/>
        </a:xfrm>
        <a:prstGeom prst="rect"/>
        <a:noFill/>
      </xdr:spPr>
      <xdr:txBody>
        <a:bodyPr fromWordArt="1" wrap="none">
          <a:prstTxWarp prst="textPlain"/>
        </a:bodyPr>
        <a:p>
          <a:pPr algn="ctr"/>
          <a:r>
            <a:rPr sz="3600" kern="10" spc="0">
              <a:ln w="19050" cmpd="sng">
                <a:solidFill>
                  <a:srgbClr val="00FFFF"/>
                </a:solidFill>
                <a:headEnd type="none"/>
                <a:tailEnd type="none"/>
              </a:ln>
              <a:solidFill>
                <a:srgbClr val="0000FF"/>
              </a:solidFill>
              <a:effectLst>
                <a:outerShdw dist="35921" dir="2700000" algn="ctr">
                  <a:srgbClr val="990000">
                    <a:alpha val="100000"/>
                  </a:srgbClr>
                </a:outerShdw>
              </a:effectLst>
              <a:latin typeface="Impact"/>
              <a:cs typeface="Impact"/>
            </a:rPr>
            <a:t>Load Calc
</a:t>
          </a:r>
        </a:p>
      </xdr:txBody>
    </xdr:sp>
    <xdr:clientData/>
  </xdr:twoCellAnchor>
  <xdr:twoCellAnchor>
    <xdr:from>
      <xdr:col>5</xdr:col>
      <xdr:colOff>209550</xdr:colOff>
      <xdr:row>0</xdr:row>
      <xdr:rowOff>209550</xdr:rowOff>
    </xdr:from>
    <xdr:to>
      <xdr:col>6</xdr:col>
      <xdr:colOff>257175</xdr:colOff>
      <xdr:row>1</xdr:row>
      <xdr:rowOff>95250</xdr:rowOff>
    </xdr:to>
    <xdr:sp>
      <xdr:nvSpPr>
        <xdr:cNvPr id="10" name="AutoShape 16"/>
        <xdr:cNvSpPr>
          <a:spLocks/>
        </xdr:cNvSpPr>
      </xdr:nvSpPr>
      <xdr:spPr>
        <a:xfrm>
          <a:off x="4324350" y="209550"/>
          <a:ext cx="381000" cy="219075"/>
        </a:xfrm>
        <a:prstGeom prst="rect"/>
        <a:noFill/>
      </xdr:spPr>
      <xdr:txBody>
        <a:bodyPr fromWordArt="1" wrap="none">
          <a:prstTxWarp prst="textPlain"/>
        </a:bodyPr>
        <a:p>
          <a:pPr algn="ctr"/>
          <a:r>
            <a:rPr sz="1400" kern="10" spc="0">
              <a:ln w="19050" cmpd="sng">
                <a:solidFill>
                  <a:srgbClr val="00FFFF"/>
                </a:solidFill>
                <a:headEnd type="none"/>
                <a:tailEnd type="none"/>
              </a:ln>
              <a:solidFill>
                <a:srgbClr val="000080"/>
              </a:solidFill>
              <a:effectLst>
                <a:outerShdw dist="35921" dir="2700000" algn="ctr">
                  <a:srgbClr val="990000">
                    <a:alpha val="100000"/>
                  </a:srgbClr>
                </a:outerShdw>
              </a:effectLst>
              <a:latin typeface="Impact"/>
              <a:cs typeface="Impact"/>
            </a:rPr>
            <a:t>2000</a:t>
          </a:r>
        </a:p>
      </xdr:txBody>
    </xdr:sp>
    <xdr:clientData/>
  </xdr:twoCellAnchor>
  <xdr:twoCellAnchor>
    <xdr:from>
      <xdr:col>2</xdr:col>
      <xdr:colOff>352425</xdr:colOff>
      <xdr:row>0</xdr:row>
      <xdr:rowOff>209550</xdr:rowOff>
    </xdr:from>
    <xdr:to>
      <xdr:col>2</xdr:col>
      <xdr:colOff>733425</xdr:colOff>
      <xdr:row>1</xdr:row>
      <xdr:rowOff>95250</xdr:rowOff>
    </xdr:to>
    <xdr:sp>
      <xdr:nvSpPr>
        <xdr:cNvPr id="11" name="AutoShape 17"/>
        <xdr:cNvSpPr>
          <a:spLocks/>
        </xdr:cNvSpPr>
      </xdr:nvSpPr>
      <xdr:spPr>
        <a:xfrm>
          <a:off x="1866900" y="209550"/>
          <a:ext cx="381000" cy="219075"/>
        </a:xfrm>
        <a:prstGeom prst="rect"/>
        <a:noFill/>
      </xdr:spPr>
      <xdr:txBody>
        <a:bodyPr fromWordArt="1" wrap="none">
          <a:prstTxWarp prst="textPlain"/>
        </a:bodyPr>
        <a:p>
          <a:pPr algn="ctr"/>
          <a:r>
            <a:rPr sz="1400" kern="10" spc="0">
              <a:ln w="19050" cmpd="sng">
                <a:solidFill>
                  <a:srgbClr val="00FFFF"/>
                </a:solidFill>
                <a:headEnd type="none"/>
                <a:tailEnd type="none"/>
              </a:ln>
              <a:solidFill>
                <a:srgbClr val="000080"/>
              </a:solidFill>
              <a:effectLst>
                <a:outerShdw dist="35921" dir="2700000" algn="ctr">
                  <a:srgbClr val="990000">
                    <a:alpha val="100000"/>
                  </a:srgbClr>
                </a:outerShdw>
              </a:effectLst>
              <a:latin typeface="Impact"/>
              <a:cs typeface="Impact"/>
            </a:rPr>
            <a:t>PG
</a:t>
          </a:r>
        </a:p>
      </xdr:txBody>
    </xdr:sp>
    <xdr:clientData/>
  </xdr:twoCellAnchor>
  <xdr:twoCellAnchor>
    <xdr:from>
      <xdr:col>1</xdr:col>
      <xdr:colOff>76200</xdr:colOff>
      <xdr:row>2</xdr:row>
      <xdr:rowOff>238125</xdr:rowOff>
    </xdr:from>
    <xdr:to>
      <xdr:col>2</xdr:col>
      <xdr:colOff>314325</xdr:colOff>
      <xdr:row>3</xdr:row>
      <xdr:rowOff>285750</xdr:rowOff>
    </xdr:to>
    <xdr:sp>
      <xdr:nvSpPr>
        <xdr:cNvPr id="12" name="AutoShape 20"/>
        <xdr:cNvSpPr>
          <a:spLocks/>
        </xdr:cNvSpPr>
      </xdr:nvSpPr>
      <xdr:spPr>
        <a:xfrm rot="10800000">
          <a:off x="466725" y="857250"/>
          <a:ext cx="1362075" cy="333375"/>
        </a:xfrm>
        <a:prstGeom prst="wedgeRoundRectCallout">
          <a:avLst>
            <a:gd name="adj1" fmla="val -45106"/>
            <a:gd name="adj2" fmla="val 127138"/>
          </a:avLst>
        </a:prstGeom>
        <a:blipFill>
          <a:blip r:embed="rId15"/>
          <a:srcRect/>
          <a:stretch>
            <a:fillRect/>
          </a:stretch>
        </a:blipFill>
        <a:ln w="15875" cmpd="sng">
          <a:solidFill>
            <a:srgbClr val="0000FF"/>
          </a:solidFill>
          <a:headEnd type="none"/>
          <a:tailEnd type="none"/>
        </a:ln>
      </xdr:spPr>
      <xdr:txBody>
        <a:bodyPr vertOverflow="clip" wrap="square"/>
        <a:p>
          <a:pPr algn="l">
            <a:defRPr/>
          </a:pPr>
          <a:r>
            <a:rPr lang="en-US" cap="none" sz="800" b="0" i="0" u="none" baseline="0">
              <a:solidFill>
                <a:srgbClr val="FF0000"/>
              </a:solidFill>
            </a:rPr>
            <a:t>for more info -
click on the banner</a:t>
          </a:r>
          <a:r>
            <a:rPr lang="en-US" cap="none" sz="800" b="0" i="0" u="none" baseline="0"/>
            <a:t>
</a:t>
          </a:r>
        </a:p>
      </xdr:txBody>
    </xdr:sp>
    <xdr:clientData/>
  </xdr:twoCellAnchor>
  <xdr:twoCellAnchor>
    <xdr:from>
      <xdr:col>2</xdr:col>
      <xdr:colOff>600075</xdr:colOff>
      <xdr:row>2</xdr:row>
      <xdr:rowOff>28575</xdr:rowOff>
    </xdr:from>
    <xdr:to>
      <xdr:col>6</xdr:col>
      <xdr:colOff>323850</xdr:colOff>
      <xdr:row>3</xdr:row>
      <xdr:rowOff>371475</xdr:rowOff>
    </xdr:to>
    <xdr:sp>
      <xdr:nvSpPr>
        <xdr:cNvPr id="13" name="AutoShape 24">
          <a:hlinkClick r:id="rId2"/>
        </xdr:cNvPr>
        <xdr:cNvSpPr>
          <a:spLocks/>
        </xdr:cNvSpPr>
      </xdr:nvSpPr>
      <xdr:spPr>
        <a:xfrm>
          <a:off x="2114550" y="647700"/>
          <a:ext cx="2657475" cy="628650"/>
        </a:xfrm>
        <a:prstGeom prst="horizontalScroll">
          <a:avLst/>
        </a:prstGeom>
        <a:pattFill prst="pct30">
          <a:fgClr>
            <a:srgbClr val="FFFF00"/>
          </a:fgClr>
          <a:bgClr>
            <a:srgbClr val="FFFFFF"/>
          </a:bgClr>
        </a:pattFill>
        <a:ln w="15875" cmpd="sng">
          <a:solidFill>
            <a:srgbClr val="000000"/>
          </a:solidFill>
          <a:headEnd type="none"/>
          <a:tailEnd type="none"/>
        </a:ln>
      </xdr:spPr>
      <xdr:txBody>
        <a:bodyPr vertOverflow="clip" wrap="square"/>
        <a:p>
          <a:pPr algn="l">
            <a:defRPr/>
          </a:pPr>
          <a:r>
            <a:rPr lang="en-US" cap="none" sz="900" b="0" i="1" u="none" baseline="0">
              <a:solidFill>
                <a:srgbClr val="000080"/>
              </a:solidFill>
              <a:latin typeface="Arial"/>
              <a:ea typeface="Arial"/>
              <a:cs typeface="Arial"/>
            </a:rPr>
            <a:t>Type in the water ballast &amp; consumptions data into column "Volume" in the table below.Then in "Stowage" section choose loading condition.</a:t>
          </a:r>
        </a:p>
      </xdr:txBody>
    </xdr:sp>
    <xdr:clientData/>
  </xdr:twoCellAnchor>
  <xdr:twoCellAnchor editAs="oneCell">
    <xdr:from>
      <xdr:col>2</xdr:col>
      <xdr:colOff>1028700</xdr:colOff>
      <xdr:row>148</xdr:row>
      <xdr:rowOff>85725</xdr:rowOff>
    </xdr:from>
    <xdr:to>
      <xdr:col>4</xdr:col>
      <xdr:colOff>409575</xdr:colOff>
      <xdr:row>154</xdr:row>
      <xdr:rowOff>9525</xdr:rowOff>
    </xdr:to>
    <xdr:pic>
      <xdr:nvPicPr>
        <xdr:cNvPr id="14" name="Picture 25">
          <a:hlinkClick r:id="rId5"/>
        </xdr:cNvPr>
        <xdr:cNvPicPr preferRelativeResize="1">
          <a:picLocks noChangeAspect="1"/>
        </xdr:cNvPicPr>
      </xdr:nvPicPr>
      <xdr:blipFill>
        <a:blip r:embed="rId3"/>
        <a:stretch>
          <a:fillRect/>
        </a:stretch>
      </xdr:blipFill>
      <xdr:spPr>
        <a:xfrm>
          <a:off x="2543175" y="24545925"/>
          <a:ext cx="1343025" cy="895350"/>
        </a:xfrm>
        <a:prstGeom prst="rect">
          <a:avLst/>
        </a:prstGeom>
        <a:noFill/>
        <a:ln w="9525" cmpd="sng">
          <a:noFill/>
        </a:ln>
      </xdr:spPr>
    </xdr:pic>
    <xdr:clientData/>
  </xdr:twoCellAnchor>
  <xdr:twoCellAnchor>
    <xdr:from>
      <xdr:col>2</xdr:col>
      <xdr:colOff>85725</xdr:colOff>
      <xdr:row>91</xdr:row>
      <xdr:rowOff>95250</xdr:rowOff>
    </xdr:from>
    <xdr:to>
      <xdr:col>6</xdr:col>
      <xdr:colOff>238125</xdr:colOff>
      <xdr:row>95</xdr:row>
      <xdr:rowOff>95250</xdr:rowOff>
    </xdr:to>
    <xdr:sp>
      <xdr:nvSpPr>
        <xdr:cNvPr id="15" name="AutoShape 29"/>
        <xdr:cNvSpPr>
          <a:spLocks/>
        </xdr:cNvSpPr>
      </xdr:nvSpPr>
      <xdr:spPr>
        <a:xfrm>
          <a:off x="1600200" y="15478125"/>
          <a:ext cx="3086100" cy="647700"/>
        </a:xfrm>
        <a:prstGeom prst="horizontalScroll">
          <a:avLst/>
        </a:prstGeom>
        <a:blipFill>
          <a:blip r:embed="rId16"/>
          <a:srcRect/>
          <a:stretch>
            <a:fillRect/>
          </a:stretch>
        </a:blipFill>
        <a:ln w="12700" cmpd="sng">
          <a:solidFill>
            <a:srgbClr val="000080"/>
          </a:solidFill>
          <a:headEnd type="none"/>
          <a:tailEnd type="none"/>
        </a:ln>
      </xdr:spPr>
      <xdr:txBody>
        <a:bodyPr vertOverflow="clip" wrap="square"/>
        <a:p>
          <a:pPr algn="l">
            <a:defRPr/>
          </a:pPr>
          <a:r>
            <a:rPr lang="en-US" cap="none" sz="1200" b="1" i="0" u="none" baseline="0">
              <a:solidFill>
                <a:srgbClr val="0000FF"/>
              </a:solidFill>
            </a:rPr>
            <a:t>Here you can compare the calculated condition  with draft survey data</a:t>
          </a:r>
        </a:p>
      </xdr:txBody>
    </xdr:sp>
    <xdr:clientData/>
  </xdr:twoCellAnchor>
  <xdr:twoCellAnchor>
    <xdr:from>
      <xdr:col>1</xdr:col>
      <xdr:colOff>895350</xdr:colOff>
      <xdr:row>95</xdr:row>
      <xdr:rowOff>142875</xdr:rowOff>
    </xdr:from>
    <xdr:to>
      <xdr:col>2</xdr:col>
      <xdr:colOff>942975</xdr:colOff>
      <xdr:row>98</xdr:row>
      <xdr:rowOff>142875</xdr:rowOff>
    </xdr:to>
    <xdr:sp>
      <xdr:nvSpPr>
        <xdr:cNvPr id="16" name="AutoShape 36"/>
        <xdr:cNvSpPr>
          <a:spLocks/>
        </xdr:cNvSpPr>
      </xdr:nvSpPr>
      <xdr:spPr>
        <a:xfrm rot="10696282">
          <a:off x="1285875" y="16173450"/>
          <a:ext cx="1171575" cy="485775"/>
        </a:xfrm>
        <a:prstGeom prst="wedgeEllipseCallout">
          <a:avLst>
            <a:gd name="adj1" fmla="val -70097"/>
            <a:gd name="adj2" fmla="val -10902"/>
          </a:avLst>
        </a:prstGeom>
        <a:blipFill>
          <a:blip r:embed="rId1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kick (or click) this guy!</a:t>
          </a:r>
        </a:p>
      </xdr:txBody>
    </xdr:sp>
    <xdr:clientData/>
  </xdr:twoCellAnchor>
  <xdr:twoCellAnchor editAs="oneCell">
    <xdr:from>
      <xdr:col>3</xdr:col>
      <xdr:colOff>838200</xdr:colOff>
      <xdr:row>101</xdr:row>
      <xdr:rowOff>47625</xdr:rowOff>
    </xdr:from>
    <xdr:to>
      <xdr:col>5</xdr:col>
      <xdr:colOff>76200</xdr:colOff>
      <xdr:row>103</xdr:row>
      <xdr:rowOff>28575</xdr:rowOff>
    </xdr:to>
    <xdr:pic>
      <xdr:nvPicPr>
        <xdr:cNvPr id="17" name="Picture 38"/>
        <xdr:cNvPicPr preferRelativeResize="1">
          <a:picLocks noChangeAspect="1"/>
        </xdr:cNvPicPr>
      </xdr:nvPicPr>
      <xdr:blipFill>
        <a:blip r:embed="rId6"/>
        <a:stretch>
          <a:fillRect/>
        </a:stretch>
      </xdr:blipFill>
      <xdr:spPr>
        <a:xfrm>
          <a:off x="3390900" y="17049750"/>
          <a:ext cx="800100" cy="304800"/>
        </a:xfrm>
        <a:prstGeom prst="rect">
          <a:avLst/>
        </a:prstGeom>
        <a:noFill/>
        <a:ln w="9525" cmpd="sng">
          <a:noFill/>
        </a:ln>
      </xdr:spPr>
    </xdr:pic>
    <xdr:clientData/>
  </xdr:twoCellAnchor>
  <xdr:twoCellAnchor>
    <xdr:from>
      <xdr:col>2</xdr:col>
      <xdr:colOff>323850</xdr:colOff>
      <xdr:row>107</xdr:row>
      <xdr:rowOff>95250</xdr:rowOff>
    </xdr:from>
    <xdr:to>
      <xdr:col>6</xdr:col>
      <xdr:colOff>352425</xdr:colOff>
      <xdr:row>110</xdr:row>
      <xdr:rowOff>47625</xdr:rowOff>
    </xdr:to>
    <xdr:sp>
      <xdr:nvSpPr>
        <xdr:cNvPr id="18" name="AutoShape 39">
          <a:hlinkClick r:id="rId7"/>
        </xdr:cNvPr>
        <xdr:cNvSpPr>
          <a:spLocks/>
        </xdr:cNvSpPr>
      </xdr:nvSpPr>
      <xdr:spPr>
        <a:xfrm>
          <a:off x="1838325" y="18068925"/>
          <a:ext cx="2962275" cy="438150"/>
        </a:xfrm>
        <a:prstGeom prst="ribbon2">
          <a:avLst/>
        </a:prstGeom>
        <a:blipFill>
          <a:blip r:embed="rId18"/>
          <a:srcRect/>
          <a:stretch>
            <a:fillRect/>
          </a:stretch>
        </a:blipFill>
        <a:ln w="12700" cmpd="sng">
          <a:solidFill>
            <a:srgbClr val="000000"/>
          </a:solidFill>
          <a:headEnd type="none"/>
          <a:tailEnd type="none"/>
        </a:ln>
      </xdr:spPr>
      <xdr:txBody>
        <a:bodyPr vertOverflow="clip" wrap="square"/>
        <a:p>
          <a:pPr algn="l">
            <a:defRPr/>
          </a:pPr>
          <a:r>
            <a:rPr lang="en-US" cap="none" sz="1100" b="1" i="0" u="none" baseline="0"/>
            <a:t> </a:t>
          </a:r>
          <a:r>
            <a:rPr lang="en-US" cap="none" sz="1100" b="1" i="0" u="none" baseline="0">
              <a:solidFill>
                <a:srgbClr val="FFFF00"/>
              </a:solidFill>
            </a:rPr>
            <a:t>GRAIN STABILITY
      SECTION</a:t>
          </a:r>
        </a:p>
      </xdr:txBody>
    </xdr:sp>
    <xdr:clientData/>
  </xdr:twoCellAnchor>
  <xdr:twoCellAnchor>
    <xdr:from>
      <xdr:col>0</xdr:col>
      <xdr:colOff>304800</xdr:colOff>
      <xdr:row>111</xdr:row>
      <xdr:rowOff>47625</xdr:rowOff>
    </xdr:from>
    <xdr:to>
      <xdr:col>4</xdr:col>
      <xdr:colOff>523875</xdr:colOff>
      <xdr:row>114</xdr:row>
      <xdr:rowOff>85725</xdr:rowOff>
    </xdr:to>
    <xdr:sp>
      <xdr:nvSpPr>
        <xdr:cNvPr id="19" name="AutoShape 41"/>
        <xdr:cNvSpPr>
          <a:spLocks/>
        </xdr:cNvSpPr>
      </xdr:nvSpPr>
      <xdr:spPr>
        <a:xfrm>
          <a:off x="304800" y="18669000"/>
          <a:ext cx="3695700" cy="523875"/>
        </a:xfrm>
        <a:prstGeom prst="wedgeRoundRectCallout">
          <a:avLst>
            <a:gd name="adj1" fmla="val -43300"/>
            <a:gd name="adj2" fmla="val 77273"/>
          </a:avLst>
        </a:prstGeom>
        <a:blipFill>
          <a:blip r:embed="rId19"/>
          <a:srcRect/>
          <a:stretch>
            <a:fillRect/>
          </a:stretch>
        </a:blipFill>
        <a:ln w="9525" cmpd="sng">
          <a:solidFill>
            <a:srgbClr val="000000"/>
          </a:solidFill>
          <a:headEnd type="none"/>
          <a:tailEnd type="none"/>
        </a:ln>
      </xdr:spPr>
      <xdr:txBody>
        <a:bodyPr vertOverflow="clip" wrap="square"/>
        <a:p>
          <a:pPr algn="l">
            <a:defRPr/>
          </a:pPr>
          <a:r>
            <a:rPr lang="en-US" cap="none" sz="900" b="0" i="0" u="none" baseline="0"/>
            <a:t>HEREWITH AN AUTOMATIC JOB IS FINISHED...
SEMI-AUTOMATIC BEGINS. YOU HAVE TO TAKE THE
</a:t>
          </a:r>
          <a:r>
            <a:rPr lang="en-US" cap="none" sz="900" b="1" i="0" u="none" baseline="0">
              <a:solidFill>
                <a:srgbClr val="FF0000"/>
              </a:solidFill>
            </a:rPr>
            <a:t>"GRAIN STABILITY BOOK"</a:t>
          </a:r>
          <a:r>
            <a:rPr lang="en-US" cap="none" sz="900" b="0" i="0" u="none" baseline="0"/>
            <a:t>. THAN FOLLOW </a:t>
          </a:r>
          <a:r>
            <a:rPr lang="en-US" cap="none" sz="1000" b="0" i="0" u="none" baseline="0"/>
            <a:t>INSTRUCTIONS:</a:t>
          </a:r>
        </a:p>
      </xdr:txBody>
    </xdr:sp>
    <xdr:clientData/>
  </xdr:twoCellAnchor>
  <xdr:twoCellAnchor>
    <xdr:from>
      <xdr:col>0</xdr:col>
      <xdr:colOff>276225</xdr:colOff>
      <xdr:row>131</xdr:row>
      <xdr:rowOff>19050</xdr:rowOff>
    </xdr:from>
    <xdr:to>
      <xdr:col>2</xdr:col>
      <xdr:colOff>219075</xdr:colOff>
      <xdr:row>136</xdr:row>
      <xdr:rowOff>28575</xdr:rowOff>
    </xdr:to>
    <xdr:sp>
      <xdr:nvSpPr>
        <xdr:cNvPr id="20" name="AutoShape 44"/>
        <xdr:cNvSpPr>
          <a:spLocks/>
        </xdr:cNvSpPr>
      </xdr:nvSpPr>
      <xdr:spPr>
        <a:xfrm>
          <a:off x="276225" y="21821775"/>
          <a:ext cx="1457325" cy="723900"/>
        </a:xfrm>
        <a:prstGeom prst="downArrowCallout">
          <a:avLst/>
        </a:prstGeom>
        <a:blipFill>
          <a:blip r:embed="rId20"/>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solidFill>
                <a:srgbClr val="FF0000"/>
              </a:solidFill>
            </a:rPr>
            <a:t>CLICK TO PRINT OUT "Stabilty &amp; Heel.Moment" REPORT (with curve)</a:t>
          </a:r>
        </a:p>
      </xdr:txBody>
    </xdr:sp>
    <xdr:clientData/>
  </xdr:twoCellAnchor>
  <xdr:twoCellAnchor>
    <xdr:from>
      <xdr:col>2</xdr:col>
      <xdr:colOff>923925</xdr:colOff>
      <xdr:row>129</xdr:row>
      <xdr:rowOff>57150</xdr:rowOff>
    </xdr:from>
    <xdr:to>
      <xdr:col>6</xdr:col>
      <xdr:colOff>76200</xdr:colOff>
      <xdr:row>131</xdr:row>
      <xdr:rowOff>38100</xdr:rowOff>
    </xdr:to>
    <xdr:sp>
      <xdr:nvSpPr>
        <xdr:cNvPr id="21" name="AutoShape 45"/>
        <xdr:cNvSpPr>
          <a:spLocks/>
        </xdr:cNvSpPr>
      </xdr:nvSpPr>
      <xdr:spPr>
        <a:xfrm>
          <a:off x="2438400" y="21593175"/>
          <a:ext cx="2085975" cy="247650"/>
        </a:xfrm>
        <a:prstGeom prst="horizontalScroll">
          <a:avLst/>
        </a:prstGeom>
        <a:blipFill>
          <a:blip r:embed="rId2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t>READ THE ACTUAL DATA REPORT:</a:t>
          </a:r>
        </a:p>
      </xdr:txBody>
    </xdr:sp>
    <xdr:clientData/>
  </xdr:twoCellAnchor>
  <xdr:twoCellAnchor>
    <xdr:from>
      <xdr:col>2</xdr:col>
      <xdr:colOff>752475</xdr:colOff>
      <xdr:row>147</xdr:row>
      <xdr:rowOff>133350</xdr:rowOff>
    </xdr:from>
    <xdr:to>
      <xdr:col>5</xdr:col>
      <xdr:colOff>152400</xdr:colOff>
      <xdr:row>149</xdr:row>
      <xdr:rowOff>66675</xdr:rowOff>
    </xdr:to>
    <xdr:sp>
      <xdr:nvSpPr>
        <xdr:cNvPr id="22" name="AutoShape 46"/>
        <xdr:cNvSpPr>
          <a:spLocks/>
        </xdr:cNvSpPr>
      </xdr:nvSpPr>
      <xdr:spPr>
        <a:xfrm>
          <a:off x="2266950" y="24431625"/>
          <a:ext cx="2000250" cy="257175"/>
        </a:xfrm>
        <a:prstGeom prst="rect"/>
        <a:noFill/>
      </xdr:spPr>
      <xdr:txBody>
        <a:bodyPr fromWordArt="1" wrap="none">
          <a:prstTxWarp prst="textArchUp"/>
        </a:bodyPr>
        <a:p>
          <a:pPr algn="ctr"/>
          <a:r>
            <a:rPr sz="1400" b="1" kern="10" spc="0">
              <a:ln w="9525" cmpd="sng">
                <a:solidFill>
                  <a:srgbClr val="000000"/>
                </a:solidFill>
                <a:headEnd type="none"/>
                <a:tailEnd type="none"/>
              </a:ln>
              <a:solidFill>
                <a:srgbClr val="000000"/>
              </a:solidFill>
              <a:latin typeface="Lucida Handwriting"/>
              <a:cs typeface="Lucida Handwriting"/>
            </a:rPr>
            <a:t>That's all, folks!</a:t>
          </a:r>
        </a:p>
      </xdr:txBody>
    </xdr:sp>
    <xdr:clientData/>
  </xdr:twoCellAnchor>
  <xdr:twoCellAnchor>
    <xdr:from>
      <xdr:col>1</xdr:col>
      <xdr:colOff>381000</xdr:colOff>
      <xdr:row>37</xdr:row>
      <xdr:rowOff>57150</xdr:rowOff>
    </xdr:from>
    <xdr:to>
      <xdr:col>2</xdr:col>
      <xdr:colOff>47625</xdr:colOff>
      <xdr:row>38</xdr:row>
      <xdr:rowOff>133350</xdr:rowOff>
    </xdr:to>
    <xdr:sp macro="[0]!AutoShape48_Click">
      <xdr:nvSpPr>
        <xdr:cNvPr id="23" name="AutoShape 48"/>
        <xdr:cNvSpPr>
          <a:spLocks/>
        </xdr:cNvSpPr>
      </xdr:nvSpPr>
      <xdr:spPr>
        <a:xfrm>
          <a:off x="771525" y="6867525"/>
          <a:ext cx="790575" cy="238125"/>
        </a:xfrm>
        <a:prstGeom prst="bevel">
          <a:avLst/>
        </a:prstGeom>
        <a:gradFill rotWithShape="1">
          <a:gsLst>
            <a:gs pos="0">
              <a:srgbClr val="CCFFCC"/>
            </a:gs>
            <a:gs pos="50000">
              <a:srgbClr val="FFFF00"/>
            </a:gs>
            <a:gs pos="100000">
              <a:srgbClr val="CCFFCC"/>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SUMMER</a:t>
          </a:r>
        </a:p>
      </xdr:txBody>
    </xdr:sp>
    <xdr:clientData/>
  </xdr:twoCellAnchor>
  <xdr:twoCellAnchor>
    <xdr:from>
      <xdr:col>6</xdr:col>
      <xdr:colOff>76200</xdr:colOff>
      <xdr:row>37</xdr:row>
      <xdr:rowOff>38100</xdr:rowOff>
    </xdr:from>
    <xdr:to>
      <xdr:col>7</xdr:col>
      <xdr:colOff>228600</xdr:colOff>
      <xdr:row>38</xdr:row>
      <xdr:rowOff>114300</xdr:rowOff>
    </xdr:to>
    <xdr:sp macro="[0]!AutoShape49_Click">
      <xdr:nvSpPr>
        <xdr:cNvPr id="24" name="AutoShape 49"/>
        <xdr:cNvSpPr>
          <a:spLocks/>
        </xdr:cNvSpPr>
      </xdr:nvSpPr>
      <xdr:spPr>
        <a:xfrm>
          <a:off x="4524375" y="6848475"/>
          <a:ext cx="790575" cy="238125"/>
        </a:xfrm>
        <a:prstGeom prst="bevel">
          <a:avLst/>
        </a:prstGeom>
        <a:gradFill rotWithShape="1">
          <a:gsLst>
            <a:gs pos="0">
              <a:srgbClr val="CCFFFF"/>
            </a:gs>
            <a:gs pos="50000">
              <a:srgbClr val="3366FF"/>
            </a:gs>
            <a:gs pos="100000">
              <a:srgbClr val="CCFFFF"/>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WINTER</a:t>
          </a:r>
        </a:p>
      </xdr:txBody>
    </xdr:sp>
    <xdr:clientData/>
  </xdr:twoCellAnchor>
  <xdr:twoCellAnchor editAs="oneCell">
    <xdr:from>
      <xdr:col>7</xdr:col>
      <xdr:colOff>85725</xdr:colOff>
      <xdr:row>39</xdr:row>
      <xdr:rowOff>9525</xdr:rowOff>
    </xdr:from>
    <xdr:to>
      <xdr:col>7</xdr:col>
      <xdr:colOff>285750</xdr:colOff>
      <xdr:row>40</xdr:row>
      <xdr:rowOff>38100</xdr:rowOff>
    </xdr:to>
    <xdr:pic>
      <xdr:nvPicPr>
        <xdr:cNvPr id="25" name="Picture 51"/>
        <xdr:cNvPicPr preferRelativeResize="1">
          <a:picLocks noChangeAspect="1"/>
        </xdr:cNvPicPr>
      </xdr:nvPicPr>
      <xdr:blipFill>
        <a:blip r:embed="rId8"/>
        <a:stretch>
          <a:fillRect/>
        </a:stretch>
      </xdr:blipFill>
      <xdr:spPr>
        <a:xfrm>
          <a:off x="5172075" y="7143750"/>
          <a:ext cx="200025" cy="238125"/>
        </a:xfrm>
        <a:prstGeom prst="rect">
          <a:avLst/>
        </a:prstGeom>
        <a:noFill/>
        <a:ln w="9525" cmpd="sng">
          <a:noFill/>
        </a:ln>
      </xdr:spPr>
    </xdr:pic>
    <xdr:clientData/>
  </xdr:twoCellAnchor>
  <xdr:twoCellAnchor editAs="oneCell">
    <xdr:from>
      <xdr:col>1</xdr:col>
      <xdr:colOff>352425</xdr:colOff>
      <xdr:row>39</xdr:row>
      <xdr:rowOff>28575</xdr:rowOff>
    </xdr:from>
    <xdr:to>
      <xdr:col>1</xdr:col>
      <xdr:colOff>1057275</xdr:colOff>
      <xdr:row>43</xdr:row>
      <xdr:rowOff>9525</xdr:rowOff>
    </xdr:to>
    <xdr:pic>
      <xdr:nvPicPr>
        <xdr:cNvPr id="26" name="Picture 52"/>
        <xdr:cNvPicPr preferRelativeResize="1">
          <a:picLocks noChangeAspect="1"/>
        </xdr:cNvPicPr>
      </xdr:nvPicPr>
      <xdr:blipFill>
        <a:blip r:embed="rId9"/>
        <a:stretch>
          <a:fillRect/>
        </a:stretch>
      </xdr:blipFill>
      <xdr:spPr>
        <a:xfrm>
          <a:off x="742950" y="7162800"/>
          <a:ext cx="704850" cy="704850"/>
        </a:xfrm>
        <a:prstGeom prst="rect">
          <a:avLst/>
        </a:prstGeom>
        <a:noFill/>
        <a:ln w="9525" cmpd="sng">
          <a:noFill/>
        </a:ln>
      </xdr:spPr>
    </xdr:pic>
    <xdr:clientData/>
  </xdr:twoCellAnchor>
  <xdr:twoCellAnchor>
    <xdr:from>
      <xdr:col>5</xdr:col>
      <xdr:colOff>257175</xdr:colOff>
      <xdr:row>10</xdr:row>
      <xdr:rowOff>9525</xdr:rowOff>
    </xdr:from>
    <xdr:to>
      <xdr:col>7</xdr:col>
      <xdr:colOff>438150</xdr:colOff>
      <xdr:row>15</xdr:row>
      <xdr:rowOff>47625</xdr:rowOff>
    </xdr:to>
    <xdr:sp>
      <xdr:nvSpPr>
        <xdr:cNvPr id="27" name="AutoShape 53">
          <a:hlinkClick r:id="rId10"/>
        </xdr:cNvPr>
        <xdr:cNvSpPr>
          <a:spLocks/>
        </xdr:cNvSpPr>
      </xdr:nvSpPr>
      <xdr:spPr>
        <a:xfrm>
          <a:off x="4371975" y="2324100"/>
          <a:ext cx="1152525" cy="847725"/>
        </a:xfrm>
        <a:prstGeom prst="foldedCorner">
          <a:avLst/>
        </a:prstGeom>
        <a:blipFill>
          <a:blip r:embed="rId22"/>
          <a:srcRect/>
          <a:stretch>
            <a:fillRect/>
          </a:stretch>
        </a:blipFill>
        <a:ln w="9525" cmpd="sng">
          <a:solidFill>
            <a:srgbClr val="000000"/>
          </a:solidFill>
          <a:headEnd type="none"/>
          <a:tailEnd type="none"/>
        </a:ln>
      </xdr:spPr>
      <xdr:txBody>
        <a:bodyPr vertOverflow="clip" wrap="square"/>
        <a:p>
          <a:pPr algn="l">
            <a:defRPr/>
          </a:pPr>
          <a:r>
            <a:rPr lang="en-US" cap="none" sz="1000" b="0" i="0" u="none" baseline="0">
              <a:solidFill>
                <a:srgbClr val="0000FF"/>
              </a:solidFill>
            </a:rPr>
            <a:t>Particular Draft
required.
How much to load?</a:t>
          </a:r>
          <a:r>
            <a:rPr lang="en-US" cap="none" sz="1000" b="0" i="0" u="none" baseline="0">
              <a:latin typeface="Arial"/>
              <a:ea typeface="Arial"/>
              <a:cs typeface="Arial"/>
            </a:rPr>
            <a:t>
     </a:t>
          </a:r>
          <a:r>
            <a:rPr lang="en-US" cap="none" sz="1000" b="1" i="0" u="none" baseline="0">
              <a:solidFill>
                <a:srgbClr val="FF0000"/>
              </a:solidFill>
              <a:latin typeface="Arial"/>
              <a:ea typeface="Arial"/>
              <a:cs typeface="Arial"/>
            </a:rPr>
            <a:t>Click here.</a:t>
          </a:r>
        </a:p>
      </xdr:txBody>
    </xdr:sp>
    <xdr:clientData/>
  </xdr:twoCellAnchor>
  <xdr:twoCellAnchor>
    <xdr:from>
      <xdr:col>3</xdr:col>
      <xdr:colOff>390525</xdr:colOff>
      <xdr:row>157</xdr:row>
      <xdr:rowOff>19050</xdr:rowOff>
    </xdr:from>
    <xdr:to>
      <xdr:col>4</xdr:col>
      <xdr:colOff>390525</xdr:colOff>
      <xdr:row>158</xdr:row>
      <xdr:rowOff>104775</xdr:rowOff>
    </xdr:to>
    <xdr:sp macro="[0]!AutoShape54_Click">
      <xdr:nvSpPr>
        <xdr:cNvPr id="28" name="AutoShape 54"/>
        <xdr:cNvSpPr>
          <a:spLocks/>
        </xdr:cNvSpPr>
      </xdr:nvSpPr>
      <xdr:spPr>
        <a:xfrm>
          <a:off x="2943225" y="25936575"/>
          <a:ext cx="923925" cy="247650"/>
        </a:xfrm>
        <a:prstGeom prst="bevel">
          <a:avLst/>
        </a:prstGeom>
        <a:gradFill rotWithShape="1">
          <a:gsLst>
            <a:gs pos="0">
              <a:srgbClr val="CCFFFF"/>
            </a:gs>
            <a:gs pos="100000">
              <a:srgbClr val="008080"/>
            </a:gs>
          </a:gsLst>
          <a:lin ang="5400000" scaled="1"/>
        </a:gra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Sea Water</a:t>
          </a:r>
        </a:p>
      </xdr:txBody>
    </xdr:sp>
    <xdr:clientData/>
  </xdr:twoCellAnchor>
  <xdr:twoCellAnchor>
    <xdr:from>
      <xdr:col>4</xdr:col>
      <xdr:colOff>485775</xdr:colOff>
      <xdr:row>157</xdr:row>
      <xdr:rowOff>19050</xdr:rowOff>
    </xdr:from>
    <xdr:to>
      <xdr:col>6</xdr:col>
      <xdr:colOff>438150</xdr:colOff>
      <xdr:row>158</xdr:row>
      <xdr:rowOff>95250</xdr:rowOff>
    </xdr:to>
    <xdr:sp macro="[0]!AutoShape55_Click">
      <xdr:nvSpPr>
        <xdr:cNvPr id="29" name="AutoShape 55"/>
        <xdr:cNvSpPr>
          <a:spLocks/>
        </xdr:cNvSpPr>
      </xdr:nvSpPr>
      <xdr:spPr>
        <a:xfrm>
          <a:off x="3962400" y="25936575"/>
          <a:ext cx="923925" cy="238125"/>
        </a:xfrm>
        <a:prstGeom prst="bevel">
          <a:avLst/>
        </a:prstGeom>
        <a:blipFill>
          <a:blip r:embed="rId2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Fresh Water</a:t>
          </a:r>
        </a:p>
      </xdr:txBody>
    </xdr:sp>
    <xdr:clientData/>
  </xdr:twoCellAnchor>
  <xdr:twoCellAnchor>
    <xdr:from>
      <xdr:col>5</xdr:col>
      <xdr:colOff>228600</xdr:colOff>
      <xdr:row>3</xdr:row>
      <xdr:rowOff>400050</xdr:rowOff>
    </xdr:from>
    <xdr:to>
      <xdr:col>7</xdr:col>
      <xdr:colOff>381000</xdr:colOff>
      <xdr:row>5</xdr:row>
      <xdr:rowOff>0</xdr:rowOff>
    </xdr:to>
    <xdr:sp macro="[0]!AutoShape56_Click">
      <xdr:nvSpPr>
        <xdr:cNvPr id="30" name="AutoShape 56"/>
        <xdr:cNvSpPr>
          <a:spLocks/>
        </xdr:cNvSpPr>
      </xdr:nvSpPr>
      <xdr:spPr>
        <a:xfrm>
          <a:off x="4343400" y="1304925"/>
          <a:ext cx="1123950" cy="200025"/>
        </a:xfrm>
        <a:prstGeom prst="bevel">
          <a:avLst/>
        </a:prstGeom>
        <a:blipFill>
          <a:blip r:embed="rId24"/>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ballast, even keel</a:t>
          </a:r>
        </a:p>
      </xdr:txBody>
    </xdr:sp>
    <xdr:clientData/>
  </xdr:twoCellAnchor>
  <xdr:twoCellAnchor>
    <xdr:from>
      <xdr:col>5</xdr:col>
      <xdr:colOff>228600</xdr:colOff>
      <xdr:row>5</xdr:row>
      <xdr:rowOff>28575</xdr:rowOff>
    </xdr:from>
    <xdr:to>
      <xdr:col>7</xdr:col>
      <xdr:colOff>381000</xdr:colOff>
      <xdr:row>6</xdr:row>
      <xdr:rowOff>66675</xdr:rowOff>
    </xdr:to>
    <xdr:sp macro="[0]!AutoShape57_Click">
      <xdr:nvSpPr>
        <xdr:cNvPr id="31" name="AutoShape 57"/>
        <xdr:cNvSpPr>
          <a:spLocks/>
        </xdr:cNvSpPr>
      </xdr:nvSpPr>
      <xdr:spPr>
        <a:xfrm>
          <a:off x="4343400" y="1533525"/>
          <a:ext cx="1123950" cy="200025"/>
        </a:xfrm>
        <a:prstGeom prst="bevel">
          <a:avLst/>
        </a:prstGeom>
        <a:blipFill>
          <a:blip r:embed="rId25"/>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ballast trim 0.5 m</a:t>
          </a:r>
        </a:p>
      </xdr:txBody>
    </xdr:sp>
    <xdr:clientData/>
  </xdr:twoCellAnchor>
  <xdr:twoCellAnchor>
    <xdr:from>
      <xdr:col>5</xdr:col>
      <xdr:colOff>228600</xdr:colOff>
      <xdr:row>6</xdr:row>
      <xdr:rowOff>104775</xdr:rowOff>
    </xdr:from>
    <xdr:to>
      <xdr:col>7</xdr:col>
      <xdr:colOff>381000</xdr:colOff>
      <xdr:row>7</xdr:row>
      <xdr:rowOff>142875</xdr:rowOff>
    </xdr:to>
    <xdr:sp macro="[0]!AutoShape58_Click">
      <xdr:nvSpPr>
        <xdr:cNvPr id="32" name="AutoShape 58"/>
        <xdr:cNvSpPr>
          <a:spLocks/>
        </xdr:cNvSpPr>
      </xdr:nvSpPr>
      <xdr:spPr>
        <a:xfrm>
          <a:off x="4343400" y="1771650"/>
          <a:ext cx="1123950" cy="200025"/>
        </a:xfrm>
        <a:prstGeom prst="bevel">
          <a:avLst/>
        </a:prstGeom>
        <a:blipFill>
          <a:blip r:embed="rId26"/>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ballast trim 1.0 m</a:t>
          </a:r>
        </a:p>
      </xdr:txBody>
    </xdr:sp>
    <xdr:clientData/>
  </xdr:twoCellAnchor>
  <xdr:twoCellAnchor>
    <xdr:from>
      <xdr:col>5</xdr:col>
      <xdr:colOff>228600</xdr:colOff>
      <xdr:row>8</xdr:row>
      <xdr:rowOff>28575</xdr:rowOff>
    </xdr:from>
    <xdr:to>
      <xdr:col>7</xdr:col>
      <xdr:colOff>381000</xdr:colOff>
      <xdr:row>9</xdr:row>
      <xdr:rowOff>66675</xdr:rowOff>
    </xdr:to>
    <xdr:sp macro="[0]!AutoShape59_Click">
      <xdr:nvSpPr>
        <xdr:cNvPr id="33" name="AutoShape 59"/>
        <xdr:cNvSpPr>
          <a:spLocks/>
        </xdr:cNvSpPr>
      </xdr:nvSpPr>
      <xdr:spPr>
        <a:xfrm>
          <a:off x="4343400" y="2019300"/>
          <a:ext cx="1123950" cy="200025"/>
        </a:xfrm>
        <a:prstGeom prst="bevel">
          <a:avLst/>
        </a:prstGeom>
        <a:blipFill>
          <a:blip r:embed="rId27"/>
          <a:srcRect/>
          <a:stretch>
            <a:fillRect/>
          </a:stretch>
        </a:blip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ballast trim 1.7 m</a:t>
          </a:r>
        </a:p>
      </xdr:txBody>
    </xdr:sp>
    <xdr:clientData/>
  </xdr:twoCellAnchor>
  <xdr:twoCellAnchor>
    <xdr:from>
      <xdr:col>5</xdr:col>
      <xdr:colOff>209550</xdr:colOff>
      <xdr:row>30</xdr:row>
      <xdr:rowOff>38100</xdr:rowOff>
    </xdr:from>
    <xdr:to>
      <xdr:col>8</xdr:col>
      <xdr:colOff>19050</xdr:colOff>
      <xdr:row>31</xdr:row>
      <xdr:rowOff>133350</xdr:rowOff>
    </xdr:to>
    <xdr:sp macro="[0]!AutoShape61_Click">
      <xdr:nvSpPr>
        <xdr:cNvPr id="34" name="AutoShape 61"/>
        <xdr:cNvSpPr>
          <a:spLocks/>
        </xdr:cNvSpPr>
      </xdr:nvSpPr>
      <xdr:spPr>
        <a:xfrm>
          <a:off x="4324350" y="5648325"/>
          <a:ext cx="1304925" cy="266700"/>
        </a:xfrm>
        <a:prstGeom prst="bevel">
          <a:avLst/>
        </a:prstGeom>
        <a:blipFill>
          <a:blip r:embed="rId2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FF00"/>
              </a:solidFill>
              <a:latin typeface="Arial"/>
              <a:ea typeface="Arial"/>
              <a:cs typeface="Arial"/>
            </a:rPr>
            <a:t> ROB on dest.point</a:t>
          </a:r>
        </a:p>
      </xdr:txBody>
    </xdr:sp>
    <xdr:clientData/>
  </xdr:twoCellAnchor>
  <xdr:twoCellAnchor>
    <xdr:from>
      <xdr:col>6</xdr:col>
      <xdr:colOff>628650</xdr:colOff>
      <xdr:row>33</xdr:row>
      <xdr:rowOff>47625</xdr:rowOff>
    </xdr:from>
    <xdr:to>
      <xdr:col>8</xdr:col>
      <xdr:colOff>38100</xdr:colOff>
      <xdr:row>34</xdr:row>
      <xdr:rowOff>123825</xdr:rowOff>
    </xdr:to>
    <xdr:sp macro="[0]!AutoShape62_Click">
      <xdr:nvSpPr>
        <xdr:cNvPr id="35" name="AutoShape 62"/>
        <xdr:cNvSpPr>
          <a:spLocks/>
        </xdr:cNvSpPr>
      </xdr:nvSpPr>
      <xdr:spPr>
        <a:xfrm>
          <a:off x="5076825" y="6210300"/>
          <a:ext cx="571500" cy="238125"/>
        </a:xfrm>
        <a:prstGeom prst="bevel">
          <a:avLst/>
        </a:prstGeom>
        <a:blipFill>
          <a:blip r:embed="rId29"/>
          <a:srcRect/>
          <a:stretch>
            <a:fillRect/>
          </a:stretch>
        </a:blipFill>
        <a:ln w="9525" cmpd="sng">
          <a:solidFill>
            <a:srgbClr val="000000"/>
          </a:solidFill>
          <a:headEnd type="none"/>
          <a:tailEnd type="none"/>
        </a:ln>
      </xdr:spPr>
      <xdr:txBody>
        <a:bodyPr vertOverflow="clip" wrap="square" anchor="ctr"/>
        <a:p>
          <a:pPr algn="ctr">
            <a:defRPr/>
          </a:pPr>
          <a:r>
            <a:rPr lang="en-US" cap="none" sz="1000" b="1" i="0" u="none" baseline="0">
              <a:solidFill>
                <a:srgbClr val="FF0000"/>
              </a:solidFill>
              <a:latin typeface="Arial"/>
              <a:ea typeface="Arial"/>
              <a:cs typeface="Arial"/>
            </a:rPr>
            <a:t>RESET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37</xdr:row>
      <xdr:rowOff>0</xdr:rowOff>
    </xdr:from>
    <xdr:to>
      <xdr:col>4</xdr:col>
      <xdr:colOff>66675</xdr:colOff>
      <xdr:row>38</xdr:row>
      <xdr:rowOff>76200</xdr:rowOff>
    </xdr:to>
    <xdr:sp macro="[0]!BallastConsumb_AutoShape21_Click">
      <xdr:nvSpPr>
        <xdr:cNvPr id="1" name="AutoShape 1"/>
        <xdr:cNvSpPr>
          <a:spLocks/>
        </xdr:cNvSpPr>
      </xdr:nvSpPr>
      <xdr:spPr>
        <a:xfrm>
          <a:off x="1714500" y="5676900"/>
          <a:ext cx="790575" cy="238125"/>
        </a:xfrm>
        <a:prstGeom prst="bevel">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Loading</a:t>
          </a:r>
        </a:p>
      </xdr:txBody>
    </xdr:sp>
    <xdr:clientData/>
  </xdr:twoCellAnchor>
  <xdr:twoCellAnchor>
    <xdr:from>
      <xdr:col>5</xdr:col>
      <xdr:colOff>114300</xdr:colOff>
      <xdr:row>37</xdr:row>
      <xdr:rowOff>0</xdr:rowOff>
    </xdr:from>
    <xdr:to>
      <xdr:col>6</xdr:col>
      <xdr:colOff>323850</xdr:colOff>
      <xdr:row>38</xdr:row>
      <xdr:rowOff>95250</xdr:rowOff>
    </xdr:to>
    <xdr:sp>
      <xdr:nvSpPr>
        <xdr:cNvPr id="2" name="AutoShape 2"/>
        <xdr:cNvSpPr>
          <a:spLocks/>
        </xdr:cNvSpPr>
      </xdr:nvSpPr>
      <xdr:spPr>
        <a:xfrm>
          <a:off x="3162300" y="5676900"/>
          <a:ext cx="819150" cy="257175"/>
        </a:xfrm>
        <a:prstGeom prst="bevel">
          <a:avLst/>
        </a:prstGeom>
        <a:gradFill rotWithShape="1">
          <a:gsLst>
            <a:gs pos="0">
              <a:srgbClr val="0000FF"/>
            </a:gs>
            <a:gs pos="50000">
              <a:srgbClr val="FFFFFF"/>
            </a:gs>
            <a:gs pos="100000">
              <a:srgbClr val="0000FF"/>
            </a:gs>
          </a:gsLst>
          <a:lin ang="5400000" scaled="1"/>
        </a:gradFill>
        <a:ln w="9525" cmpd="sng">
          <a:solidFill>
            <a:srgbClr val="000000"/>
          </a:solidFill>
          <a:headEnd type="none"/>
          <a:tailEnd type="none"/>
        </a:ln>
      </xdr:spPr>
      <xdr:txBody>
        <a:bodyPr vertOverflow="clip" wrap="square"/>
        <a:p>
          <a:pPr algn="l">
            <a:defRPr/>
          </a:pPr>
          <a:r>
            <a:rPr lang="en-US" cap="none" sz="900" b="1" i="0" u="none" baseline="0">
              <a:solidFill>
                <a:srgbClr val="000080"/>
              </a:solidFill>
              <a:latin typeface="Arial"/>
              <a:ea typeface="Arial"/>
              <a:cs typeface="Arial"/>
            </a:rPr>
            <a:t>Discharging</a:t>
          </a:r>
        </a:p>
      </xdr:txBody>
    </xdr:sp>
    <xdr:clientData/>
  </xdr:twoCellAnchor>
  <xdr:twoCellAnchor editAs="oneCell">
    <xdr:from>
      <xdr:col>4</xdr:col>
      <xdr:colOff>152400</xdr:colOff>
      <xdr:row>0</xdr:row>
      <xdr:rowOff>57150</xdr:rowOff>
    </xdr:from>
    <xdr:to>
      <xdr:col>5</xdr:col>
      <xdr:colOff>257175</xdr:colOff>
      <xdr:row>4</xdr:row>
      <xdr:rowOff>123825</xdr:rowOff>
    </xdr:to>
    <xdr:pic>
      <xdr:nvPicPr>
        <xdr:cNvPr id="3" name="Picture 3">
          <a:hlinkClick r:id="rId3"/>
        </xdr:cNvPr>
        <xdr:cNvPicPr preferRelativeResize="1">
          <a:picLocks noChangeAspect="1"/>
        </xdr:cNvPicPr>
      </xdr:nvPicPr>
      <xdr:blipFill>
        <a:blip r:embed="rId1"/>
        <a:stretch>
          <a:fillRect/>
        </a:stretch>
      </xdr:blipFill>
      <xdr:spPr>
        <a:xfrm>
          <a:off x="2590800" y="57150"/>
          <a:ext cx="714375" cy="714375"/>
        </a:xfrm>
        <a:prstGeom prst="rect">
          <a:avLst/>
        </a:prstGeom>
        <a:noFill/>
        <a:ln w="9525" cmpd="sng">
          <a:noFill/>
        </a:ln>
      </xdr:spPr>
    </xdr:pic>
    <xdr:clientData/>
  </xdr:twoCellAnchor>
  <xdr:twoCellAnchor>
    <xdr:from>
      <xdr:col>3</xdr:col>
      <xdr:colOff>85725</xdr:colOff>
      <xdr:row>2</xdr:row>
      <xdr:rowOff>104775</xdr:rowOff>
    </xdr:from>
    <xdr:to>
      <xdr:col>6</xdr:col>
      <xdr:colOff>323850</xdr:colOff>
      <xdr:row>6</xdr:row>
      <xdr:rowOff>104775</xdr:rowOff>
    </xdr:to>
    <xdr:sp>
      <xdr:nvSpPr>
        <xdr:cNvPr id="4" name="AutoShape 4"/>
        <xdr:cNvSpPr>
          <a:spLocks/>
        </xdr:cNvSpPr>
      </xdr:nvSpPr>
      <xdr:spPr>
        <a:xfrm>
          <a:off x="1914525" y="428625"/>
          <a:ext cx="2066925" cy="647700"/>
        </a:xfrm>
        <a:prstGeom prst="ellipseRibbon">
          <a:avLst>
            <a:gd name="adj1" fmla="val -31171"/>
            <a:gd name="adj2" fmla="val -8333"/>
          </a:avLst>
        </a:prstGeom>
        <a:solidFill>
          <a:srgbClr val="80008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0" i="0" u="none" baseline="0"/>
            <a:t> </a:t>
          </a:r>
          <a:r>
            <a:rPr lang="en-US" cap="none" sz="1000" b="0" i="0" u="none" baseline="0">
              <a:solidFill>
                <a:srgbClr val="0000FF"/>
              </a:solidFill>
            </a:rPr>
            <a:t>  </a:t>
          </a:r>
          <a:r>
            <a:rPr lang="en-US" cap="none" sz="1000" b="1" i="0" u="none" baseline="0">
              <a:solidFill>
                <a:srgbClr val="0000FF"/>
              </a:solidFill>
            </a:rPr>
            <a:t>Draft Survey
        Section</a:t>
          </a:r>
        </a:p>
      </xdr:txBody>
    </xdr:sp>
    <xdr:clientData/>
  </xdr:twoCellAnchor>
  <xdr:twoCellAnchor>
    <xdr:from>
      <xdr:col>3</xdr:col>
      <xdr:colOff>581025</xdr:colOff>
      <xdr:row>31</xdr:row>
      <xdr:rowOff>19050</xdr:rowOff>
    </xdr:from>
    <xdr:to>
      <xdr:col>5</xdr:col>
      <xdr:colOff>209550</xdr:colOff>
      <xdr:row>32</xdr:row>
      <xdr:rowOff>57150</xdr:rowOff>
    </xdr:to>
    <xdr:sp macro="[0]!AutoShape5_Click">
      <xdr:nvSpPr>
        <xdr:cNvPr id="5" name="AutoShape 5"/>
        <xdr:cNvSpPr>
          <a:spLocks/>
        </xdr:cNvSpPr>
      </xdr:nvSpPr>
      <xdr:spPr>
        <a:xfrm>
          <a:off x="2409825" y="4686300"/>
          <a:ext cx="847725" cy="200025"/>
        </a:xfrm>
        <a:prstGeom prst="bevel">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rPr>
            <a:t>CLICK HERE</a:t>
          </a:r>
        </a:p>
      </xdr:txBody>
    </xdr:sp>
    <xdr:clientData/>
  </xdr:twoCellAnchor>
  <xdr:twoCellAnchor>
    <xdr:from>
      <xdr:col>3</xdr:col>
      <xdr:colOff>542925</xdr:colOff>
      <xdr:row>34</xdr:row>
      <xdr:rowOff>104775</xdr:rowOff>
    </xdr:from>
    <xdr:to>
      <xdr:col>5</xdr:col>
      <xdr:colOff>247650</xdr:colOff>
      <xdr:row>36</xdr:row>
      <xdr:rowOff>19050</xdr:rowOff>
    </xdr:to>
    <xdr:sp>
      <xdr:nvSpPr>
        <xdr:cNvPr id="6" name="AutoShape 6">
          <a:hlinkClick r:id="rId4"/>
        </xdr:cNvPr>
        <xdr:cNvSpPr>
          <a:spLocks/>
        </xdr:cNvSpPr>
      </xdr:nvSpPr>
      <xdr:spPr>
        <a:xfrm>
          <a:off x="2371725" y="5295900"/>
          <a:ext cx="923925" cy="238125"/>
        </a:xfrm>
        <a:prstGeom prst="bevel">
          <a:avLst/>
        </a:prstGeom>
        <a:blipFill>
          <a:blip r:embed="rId6"/>
          <a:srcRect/>
          <a:stretch>
            <a:fillRect/>
          </a:stretch>
        </a:blip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r>
            <a:rPr lang="en-US" cap="none" sz="1000" b="1" i="0" u="none" baseline="0">
              <a:latin typeface="Arial"/>
              <a:ea typeface="Arial"/>
              <a:cs typeface="Arial"/>
            </a:rPr>
            <a:t>STATEMENT</a:t>
          </a:r>
          <a:r>
            <a:rPr lang="en-US" cap="none" sz="10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152400</xdr:rowOff>
    </xdr:from>
    <xdr:to>
      <xdr:col>2</xdr:col>
      <xdr:colOff>561975</xdr:colOff>
      <xdr:row>8</xdr:row>
      <xdr:rowOff>9525</xdr:rowOff>
    </xdr:to>
    <xdr:pic>
      <xdr:nvPicPr>
        <xdr:cNvPr id="1" name="Picture 1">
          <a:hlinkClick r:id="rId3"/>
        </xdr:cNvPr>
        <xdr:cNvPicPr preferRelativeResize="1">
          <a:picLocks noChangeAspect="1"/>
        </xdr:cNvPicPr>
      </xdr:nvPicPr>
      <xdr:blipFill>
        <a:blip r:embed="rId1"/>
        <a:stretch>
          <a:fillRect/>
        </a:stretch>
      </xdr:blipFill>
      <xdr:spPr>
        <a:xfrm>
          <a:off x="619125" y="152400"/>
          <a:ext cx="1162050" cy="1171575"/>
        </a:xfrm>
        <a:prstGeom prst="rect">
          <a:avLst/>
        </a:prstGeom>
        <a:noFill/>
        <a:ln w="9525" cmpd="sng">
          <a:noFill/>
        </a:ln>
      </xdr:spPr>
    </xdr:pic>
    <xdr:clientData/>
  </xdr:twoCellAnchor>
  <xdr:twoCellAnchor>
    <xdr:from>
      <xdr:col>3</xdr:col>
      <xdr:colOff>19050</xdr:colOff>
      <xdr:row>0</xdr:row>
      <xdr:rowOff>114300</xdr:rowOff>
    </xdr:from>
    <xdr:to>
      <xdr:col>4</xdr:col>
      <xdr:colOff>552450</xdr:colOff>
      <xdr:row>3</xdr:row>
      <xdr:rowOff>28575</xdr:rowOff>
    </xdr:to>
    <xdr:sp>
      <xdr:nvSpPr>
        <xdr:cNvPr id="2" name="AutoShape 2"/>
        <xdr:cNvSpPr>
          <a:spLocks/>
        </xdr:cNvSpPr>
      </xdr:nvSpPr>
      <xdr:spPr>
        <a:xfrm>
          <a:off x="1847850" y="114300"/>
          <a:ext cx="1143000" cy="400050"/>
        </a:xfrm>
        <a:prstGeom prst="wedgeRoundRectCallout">
          <a:avLst>
            <a:gd name="adj1" fmla="val -44166"/>
            <a:gd name="adj2" fmla="val 104763"/>
          </a:avLst>
        </a:prstGeom>
        <a:solidFill>
          <a:srgbClr val="C0C0C0"/>
        </a:solidFill>
        <a:ln w="9525" cmpd="sng">
          <a:solidFill>
            <a:srgbClr val="000000"/>
          </a:solidFill>
          <a:headEnd type="none"/>
          <a:tailEnd type="none"/>
        </a:ln>
      </xdr:spPr>
      <xdr:txBody>
        <a:bodyPr vertOverflow="clip" wrap="square"/>
        <a:p>
          <a:pPr algn="l">
            <a:defRPr/>
          </a:pPr>
          <a:r>
            <a:rPr lang="en-US" cap="none" sz="1000" b="1" i="0" u="none" baseline="0"/>
            <a:t>WHAT ELSE,
MAN?!</a:t>
          </a:r>
        </a:p>
      </xdr:txBody>
    </xdr:sp>
    <xdr:clientData/>
  </xdr:twoCellAnchor>
  <xdr:twoCellAnchor>
    <xdr:from>
      <xdr:col>4</xdr:col>
      <xdr:colOff>571500</xdr:colOff>
      <xdr:row>50</xdr:row>
      <xdr:rowOff>0</xdr:rowOff>
    </xdr:from>
    <xdr:to>
      <xdr:col>5</xdr:col>
      <xdr:colOff>38100</xdr:colOff>
      <xdr:row>54</xdr:row>
      <xdr:rowOff>0</xdr:rowOff>
    </xdr:to>
    <xdr:sp>
      <xdr:nvSpPr>
        <xdr:cNvPr id="3" name="Rectangle 3"/>
        <xdr:cNvSpPr>
          <a:spLocks/>
        </xdr:cNvSpPr>
      </xdr:nvSpPr>
      <xdr:spPr>
        <a:xfrm>
          <a:off x="3009900" y="8534400"/>
          <a:ext cx="76200" cy="647700"/>
        </a:xfrm>
        <a:prstGeom prst="rect">
          <a:avLst/>
        </a:prstGeom>
        <a:solidFill>
          <a:srgbClr val="FFFFFF">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51</xdr:row>
      <xdr:rowOff>123825</xdr:rowOff>
    </xdr:from>
    <xdr:to>
      <xdr:col>5</xdr:col>
      <xdr:colOff>38100</xdr:colOff>
      <xdr:row>52</xdr:row>
      <xdr:rowOff>38100</xdr:rowOff>
    </xdr:to>
    <xdr:sp>
      <xdr:nvSpPr>
        <xdr:cNvPr id="4" name="AutoShape 4"/>
        <xdr:cNvSpPr>
          <a:spLocks/>
        </xdr:cNvSpPr>
      </xdr:nvSpPr>
      <xdr:spPr>
        <a:xfrm>
          <a:off x="3009900" y="8820150"/>
          <a:ext cx="76200" cy="76200"/>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49</xdr:row>
      <xdr:rowOff>76200</xdr:rowOff>
    </xdr:from>
    <xdr:to>
      <xdr:col>4</xdr:col>
      <xdr:colOff>304800</xdr:colOff>
      <xdr:row>54</xdr:row>
      <xdr:rowOff>114300</xdr:rowOff>
    </xdr:to>
    <xdr:sp>
      <xdr:nvSpPr>
        <xdr:cNvPr id="5" name="Line 5"/>
        <xdr:cNvSpPr>
          <a:spLocks/>
        </xdr:cNvSpPr>
      </xdr:nvSpPr>
      <xdr:spPr>
        <a:xfrm>
          <a:off x="2743200" y="8448675"/>
          <a:ext cx="0" cy="847725"/>
        </a:xfrm>
        <a:prstGeom prst="line">
          <a:avLst/>
        </a:prstGeom>
        <a:noFill/>
        <a:ln w="12700" cmpd="sng">
          <a:solidFill>
            <a:srgbClr val="FF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49</xdr:row>
      <xdr:rowOff>95250</xdr:rowOff>
    </xdr:from>
    <xdr:to>
      <xdr:col>5</xdr:col>
      <xdr:colOff>228600</xdr:colOff>
      <xdr:row>54</xdr:row>
      <xdr:rowOff>142875</xdr:rowOff>
    </xdr:to>
    <xdr:sp>
      <xdr:nvSpPr>
        <xdr:cNvPr id="6" name="Line 6"/>
        <xdr:cNvSpPr>
          <a:spLocks/>
        </xdr:cNvSpPr>
      </xdr:nvSpPr>
      <xdr:spPr>
        <a:xfrm>
          <a:off x="3276600" y="8467725"/>
          <a:ext cx="0" cy="857250"/>
        </a:xfrm>
        <a:prstGeom prst="line">
          <a:avLst/>
        </a:prstGeom>
        <a:noFill/>
        <a:ln w="25400" cmpd="sng">
          <a:solidFill>
            <a:srgbClr val="0000FF"/>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49</xdr:row>
      <xdr:rowOff>95250</xdr:rowOff>
    </xdr:from>
    <xdr:to>
      <xdr:col>2</xdr:col>
      <xdr:colOff>590550</xdr:colOff>
      <xdr:row>54</xdr:row>
      <xdr:rowOff>142875</xdr:rowOff>
    </xdr:to>
    <xdr:sp>
      <xdr:nvSpPr>
        <xdr:cNvPr id="7" name="Line 8"/>
        <xdr:cNvSpPr>
          <a:spLocks/>
        </xdr:cNvSpPr>
      </xdr:nvSpPr>
      <xdr:spPr>
        <a:xfrm>
          <a:off x="1809750" y="8467725"/>
          <a:ext cx="0" cy="857250"/>
        </a:xfrm>
        <a:prstGeom prst="line">
          <a:avLst/>
        </a:prstGeom>
        <a:noFill/>
        <a:ln w="25400" cmpd="sng">
          <a:solidFill>
            <a:srgbClr val="0000FF"/>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49</xdr:row>
      <xdr:rowOff>66675</xdr:rowOff>
    </xdr:from>
    <xdr:to>
      <xdr:col>4</xdr:col>
      <xdr:colOff>447675</xdr:colOff>
      <xdr:row>54</xdr:row>
      <xdr:rowOff>114300</xdr:rowOff>
    </xdr:to>
    <xdr:sp>
      <xdr:nvSpPr>
        <xdr:cNvPr id="8" name="Line 9"/>
        <xdr:cNvSpPr>
          <a:spLocks/>
        </xdr:cNvSpPr>
      </xdr:nvSpPr>
      <xdr:spPr>
        <a:xfrm>
          <a:off x="2886075" y="8439150"/>
          <a:ext cx="0" cy="857250"/>
        </a:xfrm>
        <a:prstGeom prst="line">
          <a:avLst/>
        </a:prstGeom>
        <a:noFill/>
        <a:ln w="25400" cmpd="sng">
          <a:solidFill>
            <a:srgbClr val="0000FF"/>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49</xdr:row>
      <xdr:rowOff>95250</xdr:rowOff>
    </xdr:from>
    <xdr:to>
      <xdr:col>6</xdr:col>
      <xdr:colOff>57150</xdr:colOff>
      <xdr:row>54</xdr:row>
      <xdr:rowOff>142875</xdr:rowOff>
    </xdr:to>
    <xdr:sp>
      <xdr:nvSpPr>
        <xdr:cNvPr id="9" name="Line 10"/>
        <xdr:cNvSpPr>
          <a:spLocks/>
        </xdr:cNvSpPr>
      </xdr:nvSpPr>
      <xdr:spPr>
        <a:xfrm>
          <a:off x="3714750" y="8467725"/>
          <a:ext cx="0" cy="857250"/>
        </a:xfrm>
        <a:prstGeom prst="line">
          <a:avLst/>
        </a:prstGeom>
        <a:noFill/>
        <a:ln w="25400" cmpd="sng">
          <a:solidFill>
            <a:srgbClr val="0000FF"/>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49</xdr:row>
      <xdr:rowOff>104775</xdr:rowOff>
    </xdr:from>
    <xdr:to>
      <xdr:col>3</xdr:col>
      <xdr:colOff>504825</xdr:colOff>
      <xdr:row>54</xdr:row>
      <xdr:rowOff>152400</xdr:rowOff>
    </xdr:to>
    <xdr:sp>
      <xdr:nvSpPr>
        <xdr:cNvPr id="10" name="Line 11"/>
        <xdr:cNvSpPr>
          <a:spLocks/>
        </xdr:cNvSpPr>
      </xdr:nvSpPr>
      <xdr:spPr>
        <a:xfrm>
          <a:off x="2333625" y="8477250"/>
          <a:ext cx="0" cy="857250"/>
        </a:xfrm>
        <a:prstGeom prst="line">
          <a:avLst/>
        </a:prstGeom>
        <a:noFill/>
        <a:ln w="25400" cmpd="sng">
          <a:solidFill>
            <a:srgbClr val="0000FF"/>
          </a:solidFill>
          <a:prstDash val="lgDashDot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50</xdr:row>
      <xdr:rowOff>19050</xdr:rowOff>
    </xdr:from>
    <xdr:to>
      <xdr:col>8</xdr:col>
      <xdr:colOff>180975</xdr:colOff>
      <xdr:row>53</xdr:row>
      <xdr:rowOff>142875</xdr:rowOff>
    </xdr:to>
    <xdr:sp>
      <xdr:nvSpPr>
        <xdr:cNvPr id="11" name="AutoShape 12"/>
        <xdr:cNvSpPr>
          <a:spLocks/>
        </xdr:cNvSpPr>
      </xdr:nvSpPr>
      <xdr:spPr>
        <a:xfrm rot="16199177">
          <a:off x="4381500" y="8553450"/>
          <a:ext cx="676275" cy="609600"/>
        </a:xfrm>
        <a:prstGeom prst="flowChartMerg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50</xdr:row>
      <xdr:rowOff>9525</xdr:rowOff>
    </xdr:from>
    <xdr:to>
      <xdr:col>1</xdr:col>
      <xdr:colOff>495300</xdr:colOff>
      <xdr:row>53</xdr:row>
      <xdr:rowOff>152400</xdr:rowOff>
    </xdr:to>
    <xdr:sp>
      <xdr:nvSpPr>
        <xdr:cNvPr id="12" name="AutoShape 13"/>
        <xdr:cNvSpPr>
          <a:spLocks/>
        </xdr:cNvSpPr>
      </xdr:nvSpPr>
      <xdr:spPr>
        <a:xfrm rot="5400000">
          <a:off x="542925" y="8543925"/>
          <a:ext cx="561975" cy="628650"/>
        </a:xfrm>
        <a:prstGeom prst="flowChartManualOperat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55</xdr:row>
      <xdr:rowOff>0</xdr:rowOff>
    </xdr:from>
    <xdr:to>
      <xdr:col>4</xdr:col>
      <xdr:colOff>361950</xdr:colOff>
      <xdr:row>55</xdr:row>
      <xdr:rowOff>114300</xdr:rowOff>
    </xdr:to>
    <xdr:sp>
      <xdr:nvSpPr>
        <xdr:cNvPr id="13" name="AutoShape 14"/>
        <xdr:cNvSpPr>
          <a:spLocks/>
        </xdr:cNvSpPr>
      </xdr:nvSpPr>
      <xdr:spPr>
        <a:xfrm>
          <a:off x="2667000" y="9344025"/>
          <a:ext cx="133350" cy="114300"/>
        </a:xfrm>
        <a:prstGeom prst="flowChartSummingJunction">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54</xdr:row>
      <xdr:rowOff>123825</xdr:rowOff>
    </xdr:from>
    <xdr:to>
      <xdr:col>5</xdr:col>
      <xdr:colOff>266700</xdr:colOff>
      <xdr:row>55</xdr:row>
      <xdr:rowOff>85725</xdr:rowOff>
    </xdr:to>
    <xdr:sp>
      <xdr:nvSpPr>
        <xdr:cNvPr id="14" name="AutoShape 15"/>
        <xdr:cNvSpPr>
          <a:spLocks/>
        </xdr:cNvSpPr>
      </xdr:nvSpPr>
      <xdr:spPr>
        <a:xfrm>
          <a:off x="3257550" y="9305925"/>
          <a:ext cx="57150" cy="123825"/>
        </a:xfrm>
        <a:prstGeom prst="rect"/>
        <a:noFill/>
      </xdr:spPr>
      <xdr:txBody>
        <a:bodyPr fromWordArt="1" wrap="none">
          <a:prstTxWarp prst="textPlain"/>
        </a:bodyPr>
        <a:p>
          <a:pPr algn="ctr"/>
          <a:r>
            <a:rPr sz="900" kern="10" spc="0">
              <a:ln w="9525" cmpd="sng">
                <a:noFill/>
              </a:ln>
              <a:solidFill>
                <a:srgbClr val="336699"/>
              </a:solidFill>
              <a:effectLst>
                <a:outerShdw dist="45790" dir="2021404" algn="ctr">
                  <a:srgbClr val="C0C0C0">
                    <a:alpha val="100000"/>
                  </a:srgbClr>
                </a:outerShdw>
              </a:effectLst>
              <a:latin typeface="Arial"/>
              <a:cs typeface="Arial"/>
            </a:rPr>
            <a:t>1
</a:t>
          </a:r>
        </a:p>
      </xdr:txBody>
    </xdr:sp>
    <xdr:clientData/>
  </xdr:twoCellAnchor>
  <xdr:twoCellAnchor>
    <xdr:from>
      <xdr:col>2</xdr:col>
      <xdr:colOff>590550</xdr:colOff>
      <xdr:row>54</xdr:row>
      <xdr:rowOff>123825</xdr:rowOff>
    </xdr:from>
    <xdr:to>
      <xdr:col>3</xdr:col>
      <xdr:colOff>38100</xdr:colOff>
      <xdr:row>55</xdr:row>
      <xdr:rowOff>85725</xdr:rowOff>
    </xdr:to>
    <xdr:sp>
      <xdr:nvSpPr>
        <xdr:cNvPr id="15" name="AutoShape 16"/>
        <xdr:cNvSpPr>
          <a:spLocks/>
        </xdr:cNvSpPr>
      </xdr:nvSpPr>
      <xdr:spPr>
        <a:xfrm>
          <a:off x="1809750" y="9305925"/>
          <a:ext cx="57150" cy="123825"/>
        </a:xfrm>
        <a:prstGeom prst="rect"/>
        <a:noFill/>
      </xdr:spPr>
      <xdr:txBody>
        <a:bodyPr fromWordArt="1" wrap="none">
          <a:prstTxWarp prst="textPlain"/>
        </a:bodyPr>
        <a:p>
          <a:pPr algn="ctr"/>
          <a:r>
            <a:rPr sz="900" kern="10" spc="0">
              <a:ln w="9525" cmpd="sng">
                <a:noFill/>
              </a:ln>
              <a:solidFill>
                <a:srgbClr val="336699"/>
              </a:solidFill>
              <a:effectLst>
                <a:outerShdw dist="45790" dir="2021404" algn="ctr">
                  <a:srgbClr val="C0C0C0">
                    <a:alpha val="100000"/>
                  </a:srgbClr>
                </a:outerShdw>
              </a:effectLst>
              <a:latin typeface="Arial"/>
              <a:cs typeface="Arial"/>
            </a:rPr>
            <a:t>4
</a:t>
          </a:r>
        </a:p>
      </xdr:txBody>
    </xdr:sp>
    <xdr:clientData/>
  </xdr:twoCellAnchor>
  <xdr:twoCellAnchor>
    <xdr:from>
      <xdr:col>4</xdr:col>
      <xdr:colOff>447675</xdr:colOff>
      <xdr:row>54</xdr:row>
      <xdr:rowOff>142875</xdr:rowOff>
    </xdr:from>
    <xdr:to>
      <xdr:col>4</xdr:col>
      <xdr:colOff>504825</xdr:colOff>
      <xdr:row>55</xdr:row>
      <xdr:rowOff>104775</xdr:rowOff>
    </xdr:to>
    <xdr:sp>
      <xdr:nvSpPr>
        <xdr:cNvPr id="16" name="AutoShape 17"/>
        <xdr:cNvSpPr>
          <a:spLocks/>
        </xdr:cNvSpPr>
      </xdr:nvSpPr>
      <xdr:spPr>
        <a:xfrm>
          <a:off x="2886075" y="9324975"/>
          <a:ext cx="57150" cy="123825"/>
        </a:xfrm>
        <a:prstGeom prst="rect"/>
        <a:noFill/>
      </xdr:spPr>
      <xdr:txBody>
        <a:bodyPr fromWordArt="1" wrap="none">
          <a:prstTxWarp prst="textPlain"/>
        </a:bodyPr>
        <a:p>
          <a:pPr algn="ctr"/>
          <a:r>
            <a:rPr sz="900" kern="10" spc="0">
              <a:ln w="9525" cmpd="sng">
                <a:noFill/>
              </a:ln>
              <a:solidFill>
                <a:srgbClr val="336699"/>
              </a:solidFill>
              <a:effectLst>
                <a:outerShdw dist="45790" dir="2021404" algn="ctr">
                  <a:srgbClr val="C0C0C0">
                    <a:alpha val="100000"/>
                  </a:srgbClr>
                </a:outerShdw>
              </a:effectLst>
              <a:latin typeface="Arial"/>
              <a:cs typeface="Arial"/>
            </a:rPr>
            <a:t>5
</a:t>
          </a:r>
        </a:p>
      </xdr:txBody>
    </xdr:sp>
    <xdr:clientData/>
  </xdr:twoCellAnchor>
  <xdr:twoCellAnchor>
    <xdr:from>
      <xdr:col>3</xdr:col>
      <xdr:colOff>485775</xdr:colOff>
      <xdr:row>54</xdr:row>
      <xdr:rowOff>123825</xdr:rowOff>
    </xdr:from>
    <xdr:to>
      <xdr:col>3</xdr:col>
      <xdr:colOff>542925</xdr:colOff>
      <xdr:row>55</xdr:row>
      <xdr:rowOff>85725</xdr:rowOff>
    </xdr:to>
    <xdr:sp>
      <xdr:nvSpPr>
        <xdr:cNvPr id="17" name="AutoShape 19"/>
        <xdr:cNvSpPr>
          <a:spLocks/>
        </xdr:cNvSpPr>
      </xdr:nvSpPr>
      <xdr:spPr>
        <a:xfrm>
          <a:off x="2314575" y="9305925"/>
          <a:ext cx="57150" cy="123825"/>
        </a:xfrm>
        <a:prstGeom prst="rect"/>
        <a:noFill/>
      </xdr:spPr>
      <xdr:txBody>
        <a:bodyPr fromWordArt="1" wrap="none">
          <a:prstTxWarp prst="textPlain"/>
        </a:bodyPr>
        <a:p>
          <a:pPr algn="ctr"/>
          <a:r>
            <a:rPr sz="900" kern="10" spc="0">
              <a:ln w="9525" cmpd="sng">
                <a:noFill/>
              </a:ln>
              <a:solidFill>
                <a:srgbClr val="336699"/>
              </a:solidFill>
              <a:effectLst>
                <a:outerShdw dist="45790" dir="2021404" algn="ctr">
                  <a:srgbClr val="C0C0C0">
                    <a:alpha val="100000"/>
                  </a:srgbClr>
                </a:outerShdw>
              </a:effectLst>
              <a:latin typeface="Arial"/>
              <a:cs typeface="Arial"/>
            </a:rPr>
            <a:t>2
</a:t>
          </a:r>
        </a:p>
      </xdr:txBody>
    </xdr:sp>
    <xdr:clientData/>
  </xdr:twoCellAnchor>
  <xdr:twoCellAnchor>
    <xdr:from>
      <xdr:col>6</xdr:col>
      <xdr:colOff>38100</xdr:colOff>
      <xdr:row>54</xdr:row>
      <xdr:rowOff>123825</xdr:rowOff>
    </xdr:from>
    <xdr:to>
      <xdr:col>6</xdr:col>
      <xdr:colOff>95250</xdr:colOff>
      <xdr:row>55</xdr:row>
      <xdr:rowOff>85725</xdr:rowOff>
    </xdr:to>
    <xdr:sp>
      <xdr:nvSpPr>
        <xdr:cNvPr id="18" name="AutoShape 20"/>
        <xdr:cNvSpPr>
          <a:spLocks/>
        </xdr:cNvSpPr>
      </xdr:nvSpPr>
      <xdr:spPr>
        <a:xfrm>
          <a:off x="3695700" y="9305925"/>
          <a:ext cx="57150" cy="123825"/>
        </a:xfrm>
        <a:prstGeom prst="rect"/>
        <a:noFill/>
      </xdr:spPr>
      <xdr:txBody>
        <a:bodyPr fromWordArt="1" wrap="none">
          <a:prstTxWarp prst="textPlain"/>
        </a:bodyPr>
        <a:p>
          <a:pPr algn="ctr"/>
          <a:r>
            <a:rPr sz="900" kern="10" spc="0">
              <a:ln w="9525" cmpd="sng">
                <a:noFill/>
              </a:ln>
              <a:solidFill>
                <a:srgbClr val="336699"/>
              </a:solidFill>
              <a:effectLst>
                <a:outerShdw dist="45790" dir="2021404" algn="ctr">
                  <a:srgbClr val="C0C0C0">
                    <a:alpha val="100000"/>
                  </a:srgbClr>
                </a:outerShdw>
              </a:effectLst>
              <a:latin typeface="Arial"/>
              <a:cs typeface="Arial"/>
            </a:rPr>
            <a:t>3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xdr:row>
      <xdr:rowOff>152400</xdr:rowOff>
    </xdr:from>
    <xdr:to>
      <xdr:col>6</xdr:col>
      <xdr:colOff>9525</xdr:colOff>
      <xdr:row>16</xdr:row>
      <xdr:rowOff>152400</xdr:rowOff>
    </xdr:to>
    <xdr:sp>
      <xdr:nvSpPr>
        <xdr:cNvPr id="1" name="Line 2"/>
        <xdr:cNvSpPr>
          <a:spLocks/>
        </xdr:cNvSpPr>
      </xdr:nvSpPr>
      <xdr:spPr>
        <a:xfrm>
          <a:off x="333375" y="2876550"/>
          <a:ext cx="46005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16</xdr:row>
      <xdr:rowOff>152400</xdr:rowOff>
    </xdr:from>
    <xdr:to>
      <xdr:col>11</xdr:col>
      <xdr:colOff>0</xdr:colOff>
      <xdr:row>16</xdr:row>
      <xdr:rowOff>152400</xdr:rowOff>
    </xdr:to>
    <xdr:sp>
      <xdr:nvSpPr>
        <xdr:cNvPr id="2" name="Line 3"/>
        <xdr:cNvSpPr>
          <a:spLocks/>
        </xdr:cNvSpPr>
      </xdr:nvSpPr>
      <xdr:spPr>
        <a:xfrm>
          <a:off x="5248275" y="2876550"/>
          <a:ext cx="3333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18</xdr:row>
      <xdr:rowOff>9525</xdr:rowOff>
    </xdr:from>
    <xdr:to>
      <xdr:col>6</xdr:col>
      <xdr:colOff>0</xdr:colOff>
      <xdr:row>18</xdr:row>
      <xdr:rowOff>9525</xdr:rowOff>
    </xdr:to>
    <xdr:sp>
      <xdr:nvSpPr>
        <xdr:cNvPr id="3" name="Line 4"/>
        <xdr:cNvSpPr>
          <a:spLocks/>
        </xdr:cNvSpPr>
      </xdr:nvSpPr>
      <xdr:spPr>
        <a:xfrm>
          <a:off x="2352675" y="3057525"/>
          <a:ext cx="25717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18</xdr:row>
      <xdr:rowOff>0</xdr:rowOff>
    </xdr:from>
    <xdr:to>
      <xdr:col>8</xdr:col>
      <xdr:colOff>0</xdr:colOff>
      <xdr:row>18</xdr:row>
      <xdr:rowOff>0</xdr:rowOff>
    </xdr:to>
    <xdr:sp>
      <xdr:nvSpPr>
        <xdr:cNvPr id="4" name="Line 5"/>
        <xdr:cNvSpPr>
          <a:spLocks/>
        </xdr:cNvSpPr>
      </xdr:nvSpPr>
      <xdr:spPr>
        <a:xfrm>
          <a:off x="5248275" y="3048000"/>
          <a:ext cx="10191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19</xdr:row>
      <xdr:rowOff>114300</xdr:rowOff>
    </xdr:from>
    <xdr:to>
      <xdr:col>11</xdr:col>
      <xdr:colOff>9525</xdr:colOff>
      <xdr:row>19</xdr:row>
      <xdr:rowOff>114300</xdr:rowOff>
    </xdr:to>
    <xdr:sp>
      <xdr:nvSpPr>
        <xdr:cNvPr id="5" name="Line 6"/>
        <xdr:cNvSpPr>
          <a:spLocks/>
        </xdr:cNvSpPr>
      </xdr:nvSpPr>
      <xdr:spPr>
        <a:xfrm flipV="1">
          <a:off x="7877175" y="3343275"/>
          <a:ext cx="714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23</xdr:row>
      <xdr:rowOff>47625</xdr:rowOff>
    </xdr:from>
    <xdr:to>
      <xdr:col>6</xdr:col>
      <xdr:colOff>219075</xdr:colOff>
      <xdr:row>23</xdr:row>
      <xdr:rowOff>190500</xdr:rowOff>
    </xdr:to>
    <xdr:sp>
      <xdr:nvSpPr>
        <xdr:cNvPr id="6" name="AutoShape 8"/>
        <xdr:cNvSpPr>
          <a:spLocks/>
        </xdr:cNvSpPr>
      </xdr:nvSpPr>
      <xdr:spPr>
        <a:xfrm>
          <a:off x="5000625" y="4095750"/>
          <a:ext cx="142875" cy="142875"/>
        </a:xfrm>
        <a:prstGeom prst="flowChar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1714500</xdr:colOff>
      <xdr:row>30</xdr:row>
      <xdr:rowOff>28575</xdr:rowOff>
    </xdr:from>
    <xdr:to>
      <xdr:col>5</xdr:col>
      <xdr:colOff>114300</xdr:colOff>
      <xdr:row>31</xdr:row>
      <xdr:rowOff>76200</xdr:rowOff>
    </xdr:to>
    <xdr:sp>
      <xdr:nvSpPr>
        <xdr:cNvPr id="7" name="AutoShape 9"/>
        <xdr:cNvSpPr>
          <a:spLocks/>
        </xdr:cNvSpPr>
      </xdr:nvSpPr>
      <xdr:spPr>
        <a:xfrm>
          <a:off x="4067175" y="5410200"/>
          <a:ext cx="228600" cy="209550"/>
        </a:xfrm>
        <a:prstGeom prst="flowChartSummingJunction">
          <a:avLst/>
        </a:prstGeom>
        <a:solidFill>
          <a:srgbClr val="FFFFFF"/>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18</xdr:row>
      <xdr:rowOff>0</xdr:rowOff>
    </xdr:from>
    <xdr:to>
      <xdr:col>8</xdr:col>
      <xdr:colOff>1571625</xdr:colOff>
      <xdr:row>18</xdr:row>
      <xdr:rowOff>0</xdr:rowOff>
    </xdr:to>
    <xdr:sp>
      <xdr:nvSpPr>
        <xdr:cNvPr id="8" name="Line 10"/>
        <xdr:cNvSpPr>
          <a:spLocks/>
        </xdr:cNvSpPr>
      </xdr:nvSpPr>
      <xdr:spPr>
        <a:xfrm>
          <a:off x="6296025" y="3048000"/>
          <a:ext cx="1543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18</xdr:row>
      <xdr:rowOff>9525</xdr:rowOff>
    </xdr:from>
    <xdr:to>
      <xdr:col>4</xdr:col>
      <xdr:colOff>0</xdr:colOff>
      <xdr:row>18</xdr:row>
      <xdr:rowOff>9525</xdr:rowOff>
    </xdr:to>
    <xdr:sp>
      <xdr:nvSpPr>
        <xdr:cNvPr id="9" name="Line 11"/>
        <xdr:cNvSpPr>
          <a:spLocks/>
        </xdr:cNvSpPr>
      </xdr:nvSpPr>
      <xdr:spPr>
        <a:xfrm>
          <a:off x="561975" y="3057525"/>
          <a:ext cx="17907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0</xdr:rowOff>
    </xdr:from>
    <xdr:to>
      <xdr:col>6</xdr:col>
      <xdr:colOff>0</xdr:colOff>
      <xdr:row>29</xdr:row>
      <xdr:rowOff>0</xdr:rowOff>
    </xdr:to>
    <xdr:sp>
      <xdr:nvSpPr>
        <xdr:cNvPr id="10" name="Line 12"/>
        <xdr:cNvSpPr>
          <a:spLocks/>
        </xdr:cNvSpPr>
      </xdr:nvSpPr>
      <xdr:spPr>
        <a:xfrm>
          <a:off x="4181475" y="5219700"/>
          <a:ext cx="742950" cy="0"/>
        </a:xfrm>
        <a:prstGeom prst="line">
          <a:avLst/>
        </a:prstGeom>
        <a:noFill/>
        <a:ln w="9525" cmpd="sng">
          <a:solidFill>
            <a:srgbClr val="FF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23</xdr:row>
      <xdr:rowOff>9525</xdr:rowOff>
    </xdr:from>
    <xdr:to>
      <xdr:col>6</xdr:col>
      <xdr:colOff>0</xdr:colOff>
      <xdr:row>23</xdr:row>
      <xdr:rowOff>9525</xdr:rowOff>
    </xdr:to>
    <xdr:sp>
      <xdr:nvSpPr>
        <xdr:cNvPr id="11" name="Line 13"/>
        <xdr:cNvSpPr>
          <a:spLocks/>
        </xdr:cNvSpPr>
      </xdr:nvSpPr>
      <xdr:spPr>
        <a:xfrm>
          <a:off x="866775" y="4057650"/>
          <a:ext cx="4057650" cy="0"/>
        </a:xfrm>
        <a:prstGeom prst="line">
          <a:avLst/>
        </a:prstGeom>
        <a:noFill/>
        <a:ln w="9525" cmpd="sng">
          <a:solidFill>
            <a:srgbClr val="FF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23</xdr:row>
      <xdr:rowOff>0</xdr:rowOff>
    </xdr:from>
    <xdr:to>
      <xdr:col>9</xdr:col>
      <xdr:colOff>19050</xdr:colOff>
      <xdr:row>23</xdr:row>
      <xdr:rowOff>0</xdr:rowOff>
    </xdr:to>
    <xdr:sp>
      <xdr:nvSpPr>
        <xdr:cNvPr id="12" name="Line 14"/>
        <xdr:cNvSpPr>
          <a:spLocks/>
        </xdr:cNvSpPr>
      </xdr:nvSpPr>
      <xdr:spPr>
        <a:xfrm>
          <a:off x="5257800" y="4048125"/>
          <a:ext cx="2619375" cy="0"/>
        </a:xfrm>
        <a:prstGeom prst="line">
          <a:avLst/>
        </a:prstGeom>
        <a:noFill/>
        <a:ln w="9525" cmpd="sng">
          <a:solidFill>
            <a:srgbClr val="FF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19</xdr:row>
      <xdr:rowOff>0</xdr:rowOff>
    </xdr:from>
    <xdr:to>
      <xdr:col>4</xdr:col>
      <xdr:colOff>0</xdr:colOff>
      <xdr:row>27</xdr:row>
      <xdr:rowOff>219075</xdr:rowOff>
    </xdr:to>
    <xdr:sp>
      <xdr:nvSpPr>
        <xdr:cNvPr id="13" name="Line 15"/>
        <xdr:cNvSpPr>
          <a:spLocks/>
        </xdr:cNvSpPr>
      </xdr:nvSpPr>
      <xdr:spPr>
        <a:xfrm>
          <a:off x="2352675" y="3228975"/>
          <a:ext cx="0" cy="180975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981075</xdr:colOff>
      <xdr:row>19</xdr:row>
      <xdr:rowOff>0</xdr:rowOff>
    </xdr:from>
    <xdr:to>
      <xdr:col>7</xdr:col>
      <xdr:colOff>981075</xdr:colOff>
      <xdr:row>27</xdr:row>
      <xdr:rowOff>228600</xdr:rowOff>
    </xdr:to>
    <xdr:sp>
      <xdr:nvSpPr>
        <xdr:cNvPr id="14" name="Line 16"/>
        <xdr:cNvSpPr>
          <a:spLocks/>
        </xdr:cNvSpPr>
      </xdr:nvSpPr>
      <xdr:spPr>
        <a:xfrm>
          <a:off x="6219825" y="3228975"/>
          <a:ext cx="0" cy="181927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66675</xdr:colOff>
      <xdr:row>21</xdr:row>
      <xdr:rowOff>85725</xdr:rowOff>
    </xdr:from>
    <xdr:to>
      <xdr:col>9</xdr:col>
      <xdr:colOff>66675</xdr:colOff>
      <xdr:row>25</xdr:row>
      <xdr:rowOff>142875</xdr:rowOff>
    </xdr:to>
    <xdr:sp>
      <xdr:nvSpPr>
        <xdr:cNvPr id="15" name="Line 17"/>
        <xdr:cNvSpPr>
          <a:spLocks/>
        </xdr:cNvSpPr>
      </xdr:nvSpPr>
      <xdr:spPr>
        <a:xfrm>
          <a:off x="7924800" y="3638550"/>
          <a:ext cx="0" cy="101917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19</xdr:row>
      <xdr:rowOff>180975</xdr:rowOff>
    </xdr:from>
    <xdr:to>
      <xdr:col>2</xdr:col>
      <xdr:colOff>276225</xdr:colOff>
      <xdr:row>27</xdr:row>
      <xdr:rowOff>95250</xdr:rowOff>
    </xdr:to>
    <xdr:sp>
      <xdr:nvSpPr>
        <xdr:cNvPr id="16" name="Line 18"/>
        <xdr:cNvSpPr>
          <a:spLocks/>
        </xdr:cNvSpPr>
      </xdr:nvSpPr>
      <xdr:spPr>
        <a:xfrm flipH="1">
          <a:off x="828675" y="3409950"/>
          <a:ext cx="0" cy="150495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19</xdr:row>
      <xdr:rowOff>228600</xdr:rowOff>
    </xdr:from>
    <xdr:to>
      <xdr:col>0</xdr:col>
      <xdr:colOff>266700</xdr:colOff>
      <xdr:row>27</xdr:row>
      <xdr:rowOff>9525</xdr:rowOff>
    </xdr:to>
    <xdr:sp>
      <xdr:nvSpPr>
        <xdr:cNvPr id="17" name="Line 19"/>
        <xdr:cNvSpPr>
          <a:spLocks/>
        </xdr:cNvSpPr>
      </xdr:nvSpPr>
      <xdr:spPr>
        <a:xfrm>
          <a:off x="266700" y="3457575"/>
          <a:ext cx="0" cy="137160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66675</xdr:colOff>
      <xdr:row>22</xdr:row>
      <xdr:rowOff>190500</xdr:rowOff>
    </xdr:from>
    <xdr:to>
      <xdr:col>11</xdr:col>
      <xdr:colOff>66675</xdr:colOff>
      <xdr:row>24</xdr:row>
      <xdr:rowOff>104775</xdr:rowOff>
    </xdr:to>
    <xdr:sp>
      <xdr:nvSpPr>
        <xdr:cNvPr id="18" name="Line 20"/>
        <xdr:cNvSpPr>
          <a:spLocks/>
        </xdr:cNvSpPr>
      </xdr:nvSpPr>
      <xdr:spPr>
        <a:xfrm>
          <a:off x="8648700" y="4000500"/>
          <a:ext cx="0" cy="400050"/>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19</xdr:row>
      <xdr:rowOff>28575</xdr:rowOff>
    </xdr:from>
    <xdr:to>
      <xdr:col>2</xdr:col>
      <xdr:colOff>0</xdr:colOff>
      <xdr:row>19</xdr:row>
      <xdr:rowOff>28575</xdr:rowOff>
    </xdr:to>
    <xdr:sp>
      <xdr:nvSpPr>
        <xdr:cNvPr id="19" name="Line 21"/>
        <xdr:cNvSpPr>
          <a:spLocks/>
        </xdr:cNvSpPr>
      </xdr:nvSpPr>
      <xdr:spPr>
        <a:xfrm flipV="1">
          <a:off x="314325" y="3257550"/>
          <a:ext cx="2381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19</xdr:row>
      <xdr:rowOff>28575</xdr:rowOff>
    </xdr:from>
    <xdr:to>
      <xdr:col>2</xdr:col>
      <xdr:colOff>295275</xdr:colOff>
      <xdr:row>19</xdr:row>
      <xdr:rowOff>28575</xdr:rowOff>
    </xdr:to>
    <xdr:sp>
      <xdr:nvSpPr>
        <xdr:cNvPr id="20" name="Line 22"/>
        <xdr:cNvSpPr>
          <a:spLocks/>
        </xdr:cNvSpPr>
      </xdr:nvSpPr>
      <xdr:spPr>
        <a:xfrm flipV="1">
          <a:off x="590550" y="3257550"/>
          <a:ext cx="2571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885825</xdr:colOff>
      <xdr:row>19</xdr:row>
      <xdr:rowOff>219075</xdr:rowOff>
    </xdr:from>
    <xdr:to>
      <xdr:col>3</xdr:col>
      <xdr:colOff>885825</xdr:colOff>
      <xdr:row>27</xdr:row>
      <xdr:rowOff>0</xdr:rowOff>
    </xdr:to>
    <xdr:sp>
      <xdr:nvSpPr>
        <xdr:cNvPr id="21" name="Line 23"/>
        <xdr:cNvSpPr>
          <a:spLocks/>
        </xdr:cNvSpPr>
      </xdr:nvSpPr>
      <xdr:spPr>
        <a:xfrm>
          <a:off x="1752600" y="3448050"/>
          <a:ext cx="0" cy="1371600"/>
        </a:xfrm>
        <a:prstGeom prst="line">
          <a:avLst/>
        </a:prstGeom>
        <a:noFill/>
        <a:ln w="9525" cmpd="sng">
          <a:solidFill>
            <a:srgbClr val="FF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7</xdr:row>
      <xdr:rowOff>0</xdr:rowOff>
    </xdr:from>
    <xdr:to>
      <xdr:col>6</xdr:col>
      <xdr:colOff>276225</xdr:colOff>
      <xdr:row>13</xdr:row>
      <xdr:rowOff>152400</xdr:rowOff>
    </xdr:to>
    <xdr:sp>
      <xdr:nvSpPr>
        <xdr:cNvPr id="22" name="Rectangle 25"/>
        <xdr:cNvSpPr>
          <a:spLocks/>
        </xdr:cNvSpPr>
      </xdr:nvSpPr>
      <xdr:spPr>
        <a:xfrm>
          <a:off x="4962525" y="1257300"/>
          <a:ext cx="238125" cy="1123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18</xdr:row>
      <xdr:rowOff>161925</xdr:rowOff>
    </xdr:from>
    <xdr:to>
      <xdr:col>11</xdr:col>
      <xdr:colOff>0</xdr:colOff>
      <xdr:row>22</xdr:row>
      <xdr:rowOff>190500</xdr:rowOff>
    </xdr:to>
    <xdr:sp>
      <xdr:nvSpPr>
        <xdr:cNvPr id="23" name="AutoShape 27"/>
        <xdr:cNvSpPr>
          <a:spLocks/>
        </xdr:cNvSpPr>
      </xdr:nvSpPr>
      <xdr:spPr>
        <a:xfrm>
          <a:off x="6276975" y="3209925"/>
          <a:ext cx="2305050" cy="790575"/>
        </a:xfrm>
        <a:custGeom>
          <a:pathLst>
            <a:path h="83" w="233">
              <a:moveTo>
                <a:pt x="0" y="0"/>
              </a:moveTo>
              <a:cubicBezTo>
                <a:pt x="51" y="13"/>
                <a:pt x="102" y="26"/>
                <a:pt x="131" y="34"/>
              </a:cubicBezTo>
              <a:cubicBezTo>
                <a:pt x="160" y="42"/>
                <a:pt x="157" y="43"/>
                <a:pt x="174" y="51"/>
              </a:cubicBezTo>
              <a:cubicBezTo>
                <a:pt x="191" y="59"/>
                <a:pt x="223" y="78"/>
                <a:pt x="233" y="8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1019175</xdr:colOff>
      <xdr:row>24</xdr:row>
      <xdr:rowOff>104775</xdr:rowOff>
    </xdr:from>
    <xdr:to>
      <xdr:col>11</xdr:col>
      <xdr:colOff>9525</xdr:colOff>
      <xdr:row>27</xdr:row>
      <xdr:rowOff>228600</xdr:rowOff>
    </xdr:to>
    <xdr:sp>
      <xdr:nvSpPr>
        <xdr:cNvPr id="24" name="AutoShape 29"/>
        <xdr:cNvSpPr>
          <a:spLocks/>
        </xdr:cNvSpPr>
      </xdr:nvSpPr>
      <xdr:spPr>
        <a:xfrm>
          <a:off x="6257925" y="4400550"/>
          <a:ext cx="2333625" cy="647700"/>
        </a:xfrm>
        <a:custGeom>
          <a:pathLst>
            <a:path h="68" w="236">
              <a:moveTo>
                <a:pt x="0" y="68"/>
              </a:moveTo>
              <a:cubicBezTo>
                <a:pt x="64" y="53"/>
                <a:pt x="129" y="38"/>
                <a:pt x="168" y="27"/>
              </a:cubicBezTo>
              <a:cubicBezTo>
                <a:pt x="207" y="16"/>
                <a:pt x="225" y="4"/>
                <a:pt x="23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22</xdr:row>
      <xdr:rowOff>0</xdr:rowOff>
    </xdr:from>
    <xdr:to>
      <xdr:col>10</xdr:col>
      <xdr:colOff>333375</xdr:colOff>
      <xdr:row>25</xdr:row>
      <xdr:rowOff>9525</xdr:rowOff>
    </xdr:to>
    <xdr:sp>
      <xdr:nvSpPr>
        <xdr:cNvPr id="25" name="Line 30"/>
        <xdr:cNvSpPr>
          <a:spLocks/>
        </xdr:cNvSpPr>
      </xdr:nvSpPr>
      <xdr:spPr>
        <a:xfrm>
          <a:off x="8543925" y="3810000"/>
          <a:ext cx="0" cy="714375"/>
        </a:xfrm>
        <a:prstGeom prst="line">
          <a:avLst/>
        </a:prstGeom>
        <a:noFill/>
        <a:ln w="9525" cmpd="sng">
          <a:solidFill>
            <a:srgbClr val="0000FF"/>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44</xdr:row>
      <xdr:rowOff>142875</xdr:rowOff>
    </xdr:from>
    <xdr:to>
      <xdr:col>23</xdr:col>
      <xdr:colOff>0</xdr:colOff>
      <xdr:row>59</xdr:row>
      <xdr:rowOff>152400</xdr:rowOff>
    </xdr:to>
    <xdr:sp>
      <xdr:nvSpPr>
        <xdr:cNvPr id="26" name="Line 31"/>
        <xdr:cNvSpPr>
          <a:spLocks/>
        </xdr:cNvSpPr>
      </xdr:nvSpPr>
      <xdr:spPr>
        <a:xfrm>
          <a:off x="12744450" y="7867650"/>
          <a:ext cx="0" cy="2543175"/>
        </a:xfrm>
        <a:prstGeom prst="line">
          <a:avLst/>
        </a:prstGeom>
        <a:noFill/>
        <a:ln w="12700" cmpd="sng">
          <a:solidFill>
            <a:srgbClr val="0000FF"/>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48</xdr:row>
      <xdr:rowOff>28575</xdr:rowOff>
    </xdr:from>
    <xdr:to>
      <xdr:col>17</xdr:col>
      <xdr:colOff>0</xdr:colOff>
      <xdr:row>60</xdr:row>
      <xdr:rowOff>0</xdr:rowOff>
    </xdr:to>
    <xdr:sp>
      <xdr:nvSpPr>
        <xdr:cNvPr id="27" name="Line 32"/>
        <xdr:cNvSpPr>
          <a:spLocks/>
        </xdr:cNvSpPr>
      </xdr:nvSpPr>
      <xdr:spPr>
        <a:xfrm>
          <a:off x="11029950" y="8429625"/>
          <a:ext cx="0" cy="1990725"/>
        </a:xfrm>
        <a:prstGeom prst="line">
          <a:avLst/>
        </a:prstGeom>
        <a:noFill/>
        <a:ln w="12700" cmpd="sng">
          <a:solidFill>
            <a:srgbClr val="0000FF"/>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28575</xdr:colOff>
      <xdr:row>55</xdr:row>
      <xdr:rowOff>9525</xdr:rowOff>
    </xdr:from>
    <xdr:to>
      <xdr:col>28</xdr:col>
      <xdr:colOff>28575</xdr:colOff>
      <xdr:row>59</xdr:row>
      <xdr:rowOff>142875</xdr:rowOff>
    </xdr:to>
    <xdr:sp>
      <xdr:nvSpPr>
        <xdr:cNvPr id="28" name="Line 33"/>
        <xdr:cNvSpPr>
          <a:spLocks/>
        </xdr:cNvSpPr>
      </xdr:nvSpPr>
      <xdr:spPr>
        <a:xfrm flipH="1">
          <a:off x="14639925" y="9620250"/>
          <a:ext cx="0" cy="781050"/>
        </a:xfrm>
        <a:prstGeom prst="line">
          <a:avLst/>
        </a:prstGeom>
        <a:noFill/>
        <a:ln w="12700" cmpd="sng">
          <a:solidFill>
            <a:srgbClr val="0000FF"/>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44</xdr:row>
      <xdr:rowOff>0</xdr:rowOff>
    </xdr:from>
    <xdr:to>
      <xdr:col>26</xdr:col>
      <xdr:colOff>0</xdr:colOff>
      <xdr:row>44</xdr:row>
      <xdr:rowOff>0</xdr:rowOff>
    </xdr:to>
    <xdr:sp>
      <xdr:nvSpPr>
        <xdr:cNvPr id="29" name="Line 34"/>
        <xdr:cNvSpPr>
          <a:spLocks/>
        </xdr:cNvSpPr>
      </xdr:nvSpPr>
      <xdr:spPr>
        <a:xfrm>
          <a:off x="11144250" y="7724775"/>
          <a:ext cx="2847975" cy="0"/>
        </a:xfrm>
        <a:prstGeom prst="line">
          <a:avLst/>
        </a:prstGeom>
        <a:noFill/>
        <a:ln w="9525" cmpd="sng">
          <a:solidFill>
            <a:srgbClr val="0000FF"/>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xdr:colOff>
      <xdr:row>61</xdr:row>
      <xdr:rowOff>9525</xdr:rowOff>
    </xdr:from>
    <xdr:to>
      <xdr:col>15</xdr:col>
      <xdr:colOff>9525</xdr:colOff>
      <xdr:row>61</xdr:row>
      <xdr:rowOff>152400</xdr:rowOff>
    </xdr:to>
    <xdr:sp>
      <xdr:nvSpPr>
        <xdr:cNvPr id="30" name="Polygon 37"/>
        <xdr:cNvSpPr>
          <a:spLocks/>
        </xdr:cNvSpPr>
      </xdr:nvSpPr>
      <xdr:spPr>
        <a:xfrm>
          <a:off x="10096500" y="10591800"/>
          <a:ext cx="295275" cy="142875"/>
        </a:xfrm>
        <a:custGeom>
          <a:pathLst>
            <a:path h="15" w="31">
              <a:moveTo>
                <a:pt x="0" y="0"/>
              </a:moveTo>
              <a:cubicBezTo>
                <a:pt x="5" y="14"/>
                <a:pt x="17" y="15"/>
                <a:pt x="31" y="1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0</xdr:colOff>
      <xdr:row>61</xdr:row>
      <xdr:rowOff>38100</xdr:rowOff>
    </xdr:from>
    <xdr:to>
      <xdr:col>30</xdr:col>
      <xdr:colOff>0</xdr:colOff>
      <xdr:row>62</xdr:row>
      <xdr:rowOff>9525</xdr:rowOff>
    </xdr:to>
    <xdr:sp>
      <xdr:nvSpPr>
        <xdr:cNvPr id="31" name="AutoShape 38"/>
        <xdr:cNvSpPr>
          <a:spLocks/>
        </xdr:cNvSpPr>
      </xdr:nvSpPr>
      <xdr:spPr>
        <a:xfrm>
          <a:off x="14735175" y="10620375"/>
          <a:ext cx="295275" cy="133350"/>
        </a:xfrm>
        <a:custGeom>
          <a:pathLst>
            <a:path h="14" w="31">
              <a:moveTo>
                <a:pt x="0" y="13"/>
              </a:moveTo>
              <a:cubicBezTo>
                <a:pt x="5" y="13"/>
                <a:pt x="11" y="14"/>
                <a:pt x="16" y="12"/>
              </a:cubicBezTo>
              <a:cubicBezTo>
                <a:pt x="21" y="10"/>
                <a:pt x="30" y="3"/>
                <a:pt x="3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238125</xdr:colOff>
      <xdr:row>53</xdr:row>
      <xdr:rowOff>0</xdr:rowOff>
    </xdr:from>
    <xdr:to>
      <xdr:col>29</xdr:col>
      <xdr:colOff>9525</xdr:colOff>
      <xdr:row>55</xdr:row>
      <xdr:rowOff>0</xdr:rowOff>
    </xdr:to>
    <xdr:sp>
      <xdr:nvSpPr>
        <xdr:cNvPr id="32" name="Line 39"/>
        <xdr:cNvSpPr>
          <a:spLocks/>
        </xdr:cNvSpPr>
      </xdr:nvSpPr>
      <xdr:spPr>
        <a:xfrm flipH="1" flipV="1">
          <a:off x="14344650" y="9210675"/>
          <a:ext cx="400050" cy="40005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51</xdr:row>
      <xdr:rowOff>76200</xdr:rowOff>
    </xdr:from>
    <xdr:to>
      <xdr:col>29</xdr:col>
      <xdr:colOff>276225</xdr:colOff>
      <xdr:row>53</xdr:row>
      <xdr:rowOff>152400</xdr:rowOff>
    </xdr:to>
    <xdr:sp>
      <xdr:nvSpPr>
        <xdr:cNvPr id="33" name="Line 40"/>
        <xdr:cNvSpPr>
          <a:spLocks/>
        </xdr:cNvSpPr>
      </xdr:nvSpPr>
      <xdr:spPr>
        <a:xfrm flipH="1" flipV="1">
          <a:off x="14611350" y="8963025"/>
          <a:ext cx="400050" cy="40005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295275</xdr:colOff>
      <xdr:row>51</xdr:row>
      <xdr:rowOff>114300</xdr:rowOff>
    </xdr:from>
    <xdr:to>
      <xdr:col>28</xdr:col>
      <xdr:colOff>66675</xdr:colOff>
      <xdr:row>53</xdr:row>
      <xdr:rowOff>19050</xdr:rowOff>
    </xdr:to>
    <xdr:sp>
      <xdr:nvSpPr>
        <xdr:cNvPr id="34" name="Line 41"/>
        <xdr:cNvSpPr>
          <a:spLocks/>
        </xdr:cNvSpPr>
      </xdr:nvSpPr>
      <xdr:spPr>
        <a:xfrm flipV="1">
          <a:off x="14401800" y="9001125"/>
          <a:ext cx="276225" cy="228600"/>
        </a:xfrm>
        <a:prstGeom prst="line">
          <a:avLst/>
        </a:prstGeom>
        <a:noFill/>
        <a:ln w="9525" cmpd="sng">
          <a:solidFill>
            <a:srgbClr val="0000FF"/>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428625</xdr:colOff>
      <xdr:row>56</xdr:row>
      <xdr:rowOff>28575</xdr:rowOff>
    </xdr:from>
    <xdr:to>
      <xdr:col>14</xdr:col>
      <xdr:colOff>276225</xdr:colOff>
      <xdr:row>56</xdr:row>
      <xdr:rowOff>28575</xdr:rowOff>
    </xdr:to>
    <xdr:sp>
      <xdr:nvSpPr>
        <xdr:cNvPr id="35" name="Line 42"/>
        <xdr:cNvSpPr>
          <a:spLocks/>
        </xdr:cNvSpPr>
      </xdr:nvSpPr>
      <xdr:spPr>
        <a:xfrm>
          <a:off x="9906000" y="9801225"/>
          <a:ext cx="457200"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56</xdr:row>
      <xdr:rowOff>28575</xdr:rowOff>
    </xdr:from>
    <xdr:to>
      <xdr:col>16</xdr:col>
      <xdr:colOff>419100</xdr:colOff>
      <xdr:row>56</xdr:row>
      <xdr:rowOff>28575</xdr:rowOff>
    </xdr:to>
    <xdr:sp>
      <xdr:nvSpPr>
        <xdr:cNvPr id="36" name="Line 43"/>
        <xdr:cNvSpPr>
          <a:spLocks/>
        </xdr:cNvSpPr>
      </xdr:nvSpPr>
      <xdr:spPr>
        <a:xfrm flipH="1">
          <a:off x="10391775" y="9801225"/>
          <a:ext cx="523875" cy="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63</xdr:row>
      <xdr:rowOff>0</xdr:rowOff>
    </xdr:from>
    <xdr:to>
      <xdr:col>29</xdr:col>
      <xdr:colOff>0</xdr:colOff>
      <xdr:row>63</xdr:row>
      <xdr:rowOff>0</xdr:rowOff>
    </xdr:to>
    <xdr:sp>
      <xdr:nvSpPr>
        <xdr:cNvPr id="37" name="Line 44"/>
        <xdr:cNvSpPr>
          <a:spLocks/>
        </xdr:cNvSpPr>
      </xdr:nvSpPr>
      <xdr:spPr>
        <a:xfrm>
          <a:off x="10382250" y="10906125"/>
          <a:ext cx="4352925" cy="0"/>
        </a:xfrm>
        <a:prstGeom prst="line">
          <a:avLst/>
        </a:prstGeom>
        <a:noFill/>
        <a:ln w="9525" cmpd="sng">
          <a:solidFill>
            <a:srgbClr val="0000FF"/>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13</xdr:row>
      <xdr:rowOff>47625</xdr:rowOff>
    </xdr:from>
    <xdr:to>
      <xdr:col>27</xdr:col>
      <xdr:colOff>9525</xdr:colOff>
      <xdr:row>13</xdr:row>
      <xdr:rowOff>152400</xdr:rowOff>
    </xdr:to>
    <xdr:sp>
      <xdr:nvSpPr>
        <xdr:cNvPr id="1" name="Oval 1"/>
        <xdr:cNvSpPr>
          <a:spLocks/>
        </xdr:cNvSpPr>
      </xdr:nvSpPr>
      <xdr:spPr>
        <a:xfrm>
          <a:off x="2619375" y="1695450"/>
          <a:ext cx="104775" cy="104775"/>
        </a:xfrm>
        <a:prstGeom prst="ellipse">
          <a:avLst/>
        </a:prstGeom>
        <a:solidFill>
          <a:srgbClr val="FFFFFF">
            <a:alpha val="50000"/>
          </a:srgbClr>
        </a:solid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6</xdr:row>
      <xdr:rowOff>28575</xdr:rowOff>
    </xdr:from>
    <xdr:to>
      <xdr:col>58</xdr:col>
      <xdr:colOff>19050</xdr:colOff>
      <xdr:row>6</xdr:row>
      <xdr:rowOff>76200</xdr:rowOff>
    </xdr:to>
    <xdr:sp>
      <xdr:nvSpPr>
        <xdr:cNvPr id="2" name="Line 16"/>
        <xdr:cNvSpPr>
          <a:spLocks/>
        </xdr:cNvSpPr>
      </xdr:nvSpPr>
      <xdr:spPr>
        <a:xfrm flipV="1">
          <a:off x="561975" y="885825"/>
          <a:ext cx="4829175" cy="476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28575</xdr:rowOff>
    </xdr:from>
    <xdr:to>
      <xdr:col>52</xdr:col>
      <xdr:colOff>0</xdr:colOff>
      <xdr:row>5</xdr:row>
      <xdr:rowOff>114300</xdr:rowOff>
    </xdr:to>
    <xdr:sp>
      <xdr:nvSpPr>
        <xdr:cNvPr id="3" name="Line 17"/>
        <xdr:cNvSpPr>
          <a:spLocks/>
        </xdr:cNvSpPr>
      </xdr:nvSpPr>
      <xdr:spPr>
        <a:xfrm flipV="1">
          <a:off x="819150" y="762000"/>
          <a:ext cx="4038600" cy="85725"/>
        </a:xfrm>
        <a:prstGeom prst="line">
          <a:avLst/>
        </a:prstGeom>
        <a:noFill/>
        <a:ln w="158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23</xdr:row>
      <xdr:rowOff>85725</xdr:rowOff>
    </xdr:from>
    <xdr:to>
      <xdr:col>35</xdr:col>
      <xdr:colOff>28575</xdr:colOff>
      <xdr:row>25</xdr:row>
      <xdr:rowOff>9525</xdr:rowOff>
    </xdr:to>
    <xdr:sp>
      <xdr:nvSpPr>
        <xdr:cNvPr id="4" name="AutoShape 18">
          <a:hlinkClick r:id="rId1"/>
        </xdr:cNvPr>
        <xdr:cNvSpPr>
          <a:spLocks/>
        </xdr:cNvSpPr>
      </xdr:nvSpPr>
      <xdr:spPr>
        <a:xfrm>
          <a:off x="1981200" y="3743325"/>
          <a:ext cx="1447800" cy="247650"/>
        </a:xfrm>
        <a:prstGeom prst="bevel">
          <a:avLst/>
        </a:prstGeom>
        <a:gradFill rotWithShape="1">
          <a:gsLst>
            <a:gs pos="0">
              <a:srgbClr val="757575"/>
            </a:gs>
            <a:gs pos="50000">
              <a:srgbClr val="FFFFFF"/>
            </a:gs>
            <a:gs pos="100000">
              <a:srgbClr val="757575"/>
            </a:gs>
          </a:gsLst>
          <a:lin ang="5400000" scaled="1"/>
        </a:gradFill>
        <a:ln w="12700" cmpd="sng">
          <a:solidFill>
            <a:srgbClr val="000000"/>
          </a:solidFill>
          <a:headEnd type="none"/>
          <a:tailEnd type="none"/>
        </a:ln>
      </xdr:spPr>
      <xdr:txBody>
        <a:bodyPr vertOverflow="clip" wrap="square"/>
        <a:p>
          <a:pPr algn="l">
            <a:defRPr/>
          </a:pPr>
          <a:r>
            <a:rPr lang="en-US" cap="none" sz="1000" b="0" i="0" u="none" baseline="0">
              <a:solidFill>
                <a:srgbClr val="000080"/>
              </a:solidFill>
            </a:rPr>
            <a:t>STOVAGE COMPLETED</a:t>
          </a:r>
        </a:p>
      </xdr:txBody>
    </xdr:sp>
    <xdr:clientData/>
  </xdr:twoCellAnchor>
  <xdr:twoCellAnchor>
    <xdr:from>
      <xdr:col>0</xdr:col>
      <xdr:colOff>28575</xdr:colOff>
      <xdr:row>14</xdr:row>
      <xdr:rowOff>19050</xdr:rowOff>
    </xdr:from>
    <xdr:to>
      <xdr:col>5</xdr:col>
      <xdr:colOff>19050</xdr:colOff>
      <xdr:row>14</xdr:row>
      <xdr:rowOff>361950</xdr:rowOff>
    </xdr:to>
    <xdr:sp macro="[0]!AutoShape19_Click">
      <xdr:nvSpPr>
        <xdr:cNvPr id="5" name="AutoShape 19"/>
        <xdr:cNvSpPr>
          <a:spLocks/>
        </xdr:cNvSpPr>
      </xdr:nvSpPr>
      <xdr:spPr>
        <a:xfrm>
          <a:off x="28575" y="1857375"/>
          <a:ext cx="895350" cy="342900"/>
        </a:xfrm>
        <a:prstGeom prst="bevel">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sz="700" b="1" i="0" u="none" baseline="0">
              <a:solidFill>
                <a:srgbClr val="00FFFF"/>
              </a:solidFill>
              <a:latin typeface="Arial"/>
              <a:ea typeface="Arial"/>
              <a:cs typeface="Arial"/>
            </a:rPr>
            <a:t>homogeneous cargo- full hold</a:t>
          </a:r>
        </a:p>
      </xdr:txBody>
    </xdr:sp>
    <xdr:clientData/>
  </xdr:twoCellAnchor>
  <xdr:twoCellAnchor>
    <xdr:from>
      <xdr:col>5</xdr:col>
      <xdr:colOff>57150</xdr:colOff>
      <xdr:row>14</xdr:row>
      <xdr:rowOff>19050</xdr:rowOff>
    </xdr:from>
    <xdr:to>
      <xdr:col>15</xdr:col>
      <xdr:colOff>57150</xdr:colOff>
      <xdr:row>14</xdr:row>
      <xdr:rowOff>361950</xdr:rowOff>
    </xdr:to>
    <xdr:sp macro="[0]!AutoShape20_Click">
      <xdr:nvSpPr>
        <xdr:cNvPr id="6" name="AutoShape 20"/>
        <xdr:cNvSpPr>
          <a:spLocks/>
        </xdr:cNvSpPr>
      </xdr:nvSpPr>
      <xdr:spPr>
        <a:xfrm>
          <a:off x="962025" y="1857375"/>
          <a:ext cx="857250" cy="342900"/>
        </a:xfrm>
        <a:prstGeom prst="bevel">
          <a:avLst/>
        </a:prstGeom>
        <a:blipFill>
          <a:blip r:embed="rId3"/>
          <a:srcRect/>
          <a:stretch>
            <a:fillRect/>
          </a:stretch>
        </a:blipFill>
        <a:ln w="9525" cmpd="sng">
          <a:solidFill>
            <a:srgbClr val="000000"/>
          </a:solidFill>
          <a:headEnd type="none"/>
          <a:tailEnd type="none"/>
        </a:ln>
      </xdr:spPr>
      <xdr:txBody>
        <a:bodyPr vertOverflow="clip" wrap="square"/>
        <a:p>
          <a:pPr algn="l">
            <a:defRPr/>
          </a:pPr>
          <a:r>
            <a:rPr lang="en-US" cap="none" sz="700" b="1" i="0" u="none" baseline="0">
              <a:solidFill>
                <a:srgbClr val="008000"/>
              </a:solidFill>
              <a:latin typeface="Arial"/>
              <a:ea typeface="Arial"/>
              <a:cs typeface="Arial"/>
            </a:rPr>
            <a:t>homogeneous
partly loaded</a:t>
          </a:r>
        </a:p>
      </xdr:txBody>
    </xdr:sp>
    <xdr:clientData/>
  </xdr:twoCellAnchor>
  <xdr:twoCellAnchor>
    <xdr:from>
      <xdr:col>26</xdr:col>
      <xdr:colOff>9525</xdr:colOff>
      <xdr:row>14</xdr:row>
      <xdr:rowOff>28575</xdr:rowOff>
    </xdr:from>
    <xdr:to>
      <xdr:col>36</xdr:col>
      <xdr:colOff>47625</xdr:colOff>
      <xdr:row>14</xdr:row>
      <xdr:rowOff>371475</xdr:rowOff>
    </xdr:to>
    <xdr:sp macro="[0]!AutoShape21_Click">
      <xdr:nvSpPr>
        <xdr:cNvPr id="7" name="AutoShape 21"/>
        <xdr:cNvSpPr>
          <a:spLocks/>
        </xdr:cNvSpPr>
      </xdr:nvSpPr>
      <xdr:spPr>
        <a:xfrm>
          <a:off x="2676525" y="1866900"/>
          <a:ext cx="857250" cy="342900"/>
        </a:xfrm>
        <a:prstGeom prst="bevel">
          <a:avLst/>
        </a:prstGeom>
        <a:blipFill>
          <a:blip r:embed="rId4"/>
          <a:srcRect/>
          <a:stretch>
            <a:fillRect/>
          </a:stretch>
        </a:blipFill>
        <a:ln w="9525" cmpd="sng">
          <a:solidFill>
            <a:srgbClr val="000000"/>
          </a:solidFill>
          <a:headEnd type="none"/>
          <a:tailEnd type="none"/>
        </a:ln>
      </xdr:spPr>
      <xdr:txBody>
        <a:bodyPr vertOverflow="clip" wrap="square" anchor="ctr"/>
        <a:p>
          <a:pPr algn="ctr">
            <a:defRPr/>
          </a:pPr>
          <a:r>
            <a:rPr lang="en-US" cap="none" sz="700" b="1" i="0" u="none" baseline="0">
              <a:latin typeface="Arial"/>
              <a:ea typeface="Arial"/>
              <a:cs typeface="Arial"/>
            </a:rPr>
            <a:t>non-homogen.
cargo. 
</a:t>
          </a:r>
        </a:p>
      </xdr:txBody>
    </xdr:sp>
    <xdr:clientData/>
  </xdr:twoCellAnchor>
  <xdr:twoCellAnchor>
    <xdr:from>
      <xdr:col>16</xdr:col>
      <xdr:colOff>9525</xdr:colOff>
      <xdr:row>14</xdr:row>
      <xdr:rowOff>38100</xdr:rowOff>
    </xdr:from>
    <xdr:to>
      <xdr:col>25</xdr:col>
      <xdr:colOff>19050</xdr:colOff>
      <xdr:row>14</xdr:row>
      <xdr:rowOff>371475</xdr:rowOff>
    </xdr:to>
    <xdr:sp macro="[0]!AutoShape22_Click">
      <xdr:nvSpPr>
        <xdr:cNvPr id="8" name="AutoShape 22"/>
        <xdr:cNvSpPr>
          <a:spLocks/>
        </xdr:cNvSpPr>
      </xdr:nvSpPr>
      <xdr:spPr>
        <a:xfrm>
          <a:off x="1857375" y="1876425"/>
          <a:ext cx="781050" cy="333375"/>
        </a:xfrm>
        <a:prstGeom prst="bevel">
          <a:avLst/>
        </a:prstGeom>
        <a:blipFill>
          <a:blip r:embed="rId5"/>
          <a:srcRect/>
          <a:stretch>
            <a:fillRect/>
          </a:stretch>
        </a:blipFill>
        <a:ln w="9525" cmpd="sng">
          <a:solidFill>
            <a:srgbClr val="000000"/>
          </a:solidFill>
          <a:headEnd type="none"/>
          <a:tailEnd type="none"/>
        </a:ln>
      </xdr:spPr>
      <xdr:txBody>
        <a:bodyPr vertOverflow="clip" wrap="square"/>
        <a:p>
          <a:pPr algn="l">
            <a:defRPr/>
          </a:pPr>
          <a:r>
            <a:rPr lang="en-US" cap="none" sz="700" b="1" i="0" u="none" baseline="0">
              <a:solidFill>
                <a:srgbClr val="FFFFFF"/>
              </a:solidFill>
              <a:latin typeface="Arial"/>
              <a:ea typeface="Arial"/>
              <a:cs typeface="Arial"/>
            </a:rPr>
            <a:t>coal-h.2 full, 1-partly</a:t>
          </a:r>
        </a:p>
      </xdr:txBody>
    </xdr:sp>
    <xdr:clientData/>
  </xdr:twoCellAnchor>
  <xdr:twoCellAnchor>
    <xdr:from>
      <xdr:col>39</xdr:col>
      <xdr:colOff>57150</xdr:colOff>
      <xdr:row>14</xdr:row>
      <xdr:rowOff>47625</xdr:rowOff>
    </xdr:from>
    <xdr:to>
      <xdr:col>48</xdr:col>
      <xdr:colOff>57150</xdr:colOff>
      <xdr:row>14</xdr:row>
      <xdr:rowOff>381000</xdr:rowOff>
    </xdr:to>
    <xdr:sp macro="[0]!AutoShape25_Click">
      <xdr:nvSpPr>
        <xdr:cNvPr id="9" name="AutoShape 25"/>
        <xdr:cNvSpPr>
          <a:spLocks/>
        </xdr:cNvSpPr>
      </xdr:nvSpPr>
      <xdr:spPr>
        <a:xfrm>
          <a:off x="3800475" y="1885950"/>
          <a:ext cx="771525" cy="333375"/>
        </a:xfrm>
        <a:prstGeom prst="bevel">
          <a:avLst/>
        </a:prstGeom>
        <a:blipFill>
          <a:blip r:embed="rId6"/>
          <a:srcRect/>
          <a:stretch>
            <a:fillRect/>
          </a:stretch>
        </a:blipFill>
        <a:ln w="12700" cmpd="sng">
          <a:solidFill>
            <a:srgbClr val="800000"/>
          </a:solidFill>
          <a:headEnd type="none"/>
          <a:tailEnd type="none"/>
        </a:ln>
      </xdr:spPr>
      <xdr:txBody>
        <a:bodyPr vertOverflow="clip" wrap="square" anchor="ctr"/>
        <a:p>
          <a:pPr algn="ctr">
            <a:defRPr/>
          </a:pPr>
          <a:r>
            <a:rPr lang="en-US" cap="none" sz="900" b="1" i="0" u="none" baseline="0">
              <a:solidFill>
                <a:srgbClr val="FFFF00"/>
              </a:solidFill>
            </a:rPr>
            <a:t>standard # 1</a:t>
          </a:r>
        </a:p>
      </xdr:txBody>
    </xdr:sp>
    <xdr:clientData/>
  </xdr:twoCellAnchor>
  <xdr:twoCellAnchor>
    <xdr:from>
      <xdr:col>49</xdr:col>
      <xdr:colOff>47625</xdr:colOff>
      <xdr:row>14</xdr:row>
      <xdr:rowOff>38100</xdr:rowOff>
    </xdr:from>
    <xdr:to>
      <xdr:col>58</xdr:col>
      <xdr:colOff>47625</xdr:colOff>
      <xdr:row>14</xdr:row>
      <xdr:rowOff>371475</xdr:rowOff>
    </xdr:to>
    <xdr:sp>
      <xdr:nvSpPr>
        <xdr:cNvPr id="10" name="AutoShape 26"/>
        <xdr:cNvSpPr>
          <a:spLocks/>
        </xdr:cNvSpPr>
      </xdr:nvSpPr>
      <xdr:spPr>
        <a:xfrm>
          <a:off x="4648200" y="1876425"/>
          <a:ext cx="771525" cy="333375"/>
        </a:xfrm>
        <a:prstGeom prst="bevel">
          <a:avLst/>
        </a:prstGeom>
        <a:blipFill>
          <a:blip r:embed="rId7"/>
          <a:srcRect/>
          <a:stretch>
            <a:fillRect/>
          </a:stretch>
        </a:blipFill>
        <a:ln w="12700" cmpd="sng">
          <a:solidFill>
            <a:srgbClr val="FFFF00"/>
          </a:solidFill>
          <a:headEnd type="none"/>
          <a:tailEnd type="none"/>
        </a:ln>
      </xdr:spPr>
      <xdr:txBody>
        <a:bodyPr vertOverflow="clip" wrap="square" anchor="ctr"/>
        <a:p>
          <a:pPr algn="ctr">
            <a:defRPr/>
          </a:pPr>
          <a:r>
            <a:rPr lang="en-US" cap="none" sz="900" b="1" i="0" u="none" baseline="0">
              <a:solidFill>
                <a:srgbClr val="FFFF00"/>
              </a:solidFill>
            </a:rPr>
            <a:t>standard # 2</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0.76825</cdr:x>
      <cdr:y>0.2125</cdr:y>
    </cdr:from>
    <cdr:to>
      <cdr:x>0.76825</cdr:x>
      <cdr:y>0.775</cdr:y>
    </cdr:to>
    <cdr:sp>
      <cdr:nvSpPr>
        <cdr:cNvPr id="1" name="Line 1"/>
        <cdr:cNvSpPr>
          <a:spLocks/>
        </cdr:cNvSpPr>
      </cdr:nvSpPr>
      <cdr:spPr>
        <a:xfrm flipH="1" flipV="1">
          <a:off x="2647950" y="495300"/>
          <a:ext cx="0" cy="1333500"/>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0.73775</cdr:x>
      <cdr:y>0.1295</cdr:y>
    </cdr:from>
    <cdr:to>
      <cdr:x>0.7995</cdr:x>
      <cdr:y>0.19325</cdr:y>
    </cdr:to>
    <cdr:sp>
      <cdr:nvSpPr>
        <cdr:cNvPr id="2" name="AutoShape 2"/>
        <cdr:cNvSpPr>
          <a:spLocks/>
        </cdr:cNvSpPr>
      </cdr:nvSpPr>
      <cdr:spPr>
        <a:xfrm>
          <a:off x="2543175" y="304800"/>
          <a:ext cx="209550" cy="152400"/>
        </a:xfrm>
        <a:prstGeom prst="rect"/>
        <a:noFill/>
      </cdr:spPr>
      <cdr:txBody>
        <a:bodyPr fromWordArt="1" wrap="none">
          <a:prstTxWarp prst="textPlain"/>
        </a:bodyPr>
        <a:p>
          <a:pPr algn="ctr"/>
          <a:r>
            <a:rPr sz="900" kern="10" spc="0">
              <a:ln w="9525" cmpd="sng">
                <a:noFill/>
              </a:ln>
              <a:solidFill>
                <a:srgbClr val="000000"/>
              </a:solidFill>
              <a:latin typeface="Arial Black"/>
              <a:cs typeface="Arial Black"/>
            </a:rPr>
            <a:t>53.3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48</xdr:row>
      <xdr:rowOff>47625</xdr:rowOff>
    </xdr:from>
    <xdr:to>
      <xdr:col>6</xdr:col>
      <xdr:colOff>552450</xdr:colOff>
      <xdr:row>62</xdr:row>
      <xdr:rowOff>152400</xdr:rowOff>
    </xdr:to>
    <xdr:graphicFrame>
      <xdr:nvGraphicFramePr>
        <xdr:cNvPr id="1" name="Chart 1"/>
        <xdr:cNvGraphicFramePr/>
      </xdr:nvGraphicFramePr>
      <xdr:xfrm>
        <a:off x="1181100" y="7667625"/>
        <a:ext cx="3457575" cy="2371725"/>
      </xdr:xfrm>
      <a:graphic>
        <a:graphicData uri="http://schemas.openxmlformats.org/drawingml/2006/chart">
          <c:chart xmlns:c="http://schemas.openxmlformats.org/drawingml/2006/chart" r:id="rId1"/>
        </a:graphicData>
      </a:graphic>
    </xdr:graphicFrame>
    <xdr:clientData/>
  </xdr:twoCellAnchor>
  <xdr:twoCellAnchor>
    <xdr:from>
      <xdr:col>0</xdr:col>
      <xdr:colOff>914400</xdr:colOff>
      <xdr:row>0</xdr:row>
      <xdr:rowOff>0</xdr:rowOff>
    </xdr:from>
    <xdr:to>
      <xdr:col>0</xdr:col>
      <xdr:colOff>1162050</xdr:colOff>
      <xdr:row>2</xdr:row>
      <xdr:rowOff>0</xdr:rowOff>
    </xdr:to>
    <xdr:pic>
      <xdr:nvPicPr>
        <xdr:cNvPr id="2" name="Picture 2"/>
        <xdr:cNvPicPr preferRelativeResize="1">
          <a:picLocks noChangeAspect="1"/>
        </xdr:cNvPicPr>
      </xdr:nvPicPr>
      <xdr:blipFill>
        <a:blip r:embed="rId2"/>
        <a:stretch>
          <a:fillRect/>
        </a:stretch>
      </xdr:blipFill>
      <xdr:spPr>
        <a:xfrm>
          <a:off x="914400" y="0"/>
          <a:ext cx="247650" cy="323850"/>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0.7675</cdr:x>
      <cdr:y>0.1905</cdr:y>
    </cdr:from>
    <cdr:to>
      <cdr:x>0.7675</cdr:x>
      <cdr:y>0.819</cdr:y>
    </cdr:to>
    <cdr:sp>
      <cdr:nvSpPr>
        <cdr:cNvPr id="1" name="Line 1"/>
        <cdr:cNvSpPr>
          <a:spLocks/>
        </cdr:cNvSpPr>
      </cdr:nvSpPr>
      <cdr:spPr>
        <a:xfrm flipH="1" flipV="1">
          <a:off x="3733800" y="600075"/>
          <a:ext cx="0" cy="2009775"/>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0.73475</cdr:x>
      <cdr:y>0.1135</cdr:y>
    </cdr:from>
    <cdr:to>
      <cdr:x>0.801</cdr:x>
      <cdr:y>0.1695</cdr:y>
    </cdr:to>
    <cdr:sp>
      <cdr:nvSpPr>
        <cdr:cNvPr id="2" name="AutoShape 2"/>
        <cdr:cNvSpPr>
          <a:spLocks/>
        </cdr:cNvSpPr>
      </cdr:nvSpPr>
      <cdr:spPr>
        <a:xfrm>
          <a:off x="3571875" y="361950"/>
          <a:ext cx="323850" cy="180975"/>
        </a:xfrm>
        <a:prstGeom prst="rect"/>
        <a:noFill/>
      </cdr:spPr>
      <cdr:txBody>
        <a:bodyPr fromWordArt="1" wrap="none">
          <a:prstTxWarp prst="textPlain"/>
        </a:bodyPr>
        <a:p>
          <a:pPr algn="ctr"/>
          <a:r>
            <a:rPr sz="900" kern="10" spc="0">
              <a:ln w="9525" cmpd="sng">
                <a:noFill/>
              </a:ln>
              <a:solidFill>
                <a:srgbClr val="000000"/>
              </a:solidFill>
              <a:latin typeface="Arial Black"/>
              <a:cs typeface="Arial Black"/>
            </a:rPr>
            <a:t>53.3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0.76825</cdr:x>
      <cdr:y>0.211</cdr:y>
    </cdr:from>
    <cdr:to>
      <cdr:x>0.76925</cdr:x>
      <cdr:y>0.85025</cdr:y>
    </cdr:to>
    <cdr:sp>
      <cdr:nvSpPr>
        <cdr:cNvPr id="1" name="Line 1"/>
        <cdr:cNvSpPr>
          <a:spLocks/>
        </cdr:cNvSpPr>
      </cdr:nvSpPr>
      <cdr:spPr>
        <a:xfrm flipV="1">
          <a:off x="3724275" y="809625"/>
          <a:ext cx="9525" cy="2457450"/>
        </a:xfrm>
        <a:prstGeom prst="line">
          <a:avLst/>
        </a:prstGeom>
        <a:noFill/>
        <a:ln w="12700"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11</xdr:row>
      <xdr:rowOff>0</xdr:rowOff>
    </xdr:from>
    <xdr:to>
      <xdr:col>20</xdr:col>
      <xdr:colOff>161925</xdr:colOff>
      <xdr:row>30</xdr:row>
      <xdr:rowOff>114300</xdr:rowOff>
    </xdr:to>
    <xdr:graphicFrame>
      <xdr:nvGraphicFramePr>
        <xdr:cNvPr id="1" name="Chart 4"/>
        <xdr:cNvGraphicFramePr/>
      </xdr:nvGraphicFramePr>
      <xdr:xfrm>
        <a:off x="7038975" y="1905000"/>
        <a:ext cx="4867275" cy="3190875"/>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19</xdr:row>
      <xdr:rowOff>9525</xdr:rowOff>
    </xdr:from>
    <xdr:to>
      <xdr:col>8</xdr:col>
      <xdr:colOff>190500</xdr:colOff>
      <xdr:row>42</xdr:row>
      <xdr:rowOff>66675</xdr:rowOff>
    </xdr:to>
    <xdr:graphicFrame>
      <xdr:nvGraphicFramePr>
        <xdr:cNvPr id="2" name="Chart 3"/>
        <xdr:cNvGraphicFramePr/>
      </xdr:nvGraphicFramePr>
      <xdr:xfrm>
        <a:off x="333375" y="3209925"/>
        <a:ext cx="4857750" cy="3838575"/>
      </xdr:xfrm>
      <a:graphic>
        <a:graphicData uri="http://schemas.openxmlformats.org/drawingml/2006/chart">
          <c:chart xmlns:c="http://schemas.openxmlformats.org/drawingml/2006/chart" r:id="rId2"/>
        </a:graphicData>
      </a:graphic>
    </xdr:graphicFrame>
    <xdr:clientData/>
  </xdr:twoCellAnchor>
  <xdr:twoCellAnchor>
    <xdr:from>
      <xdr:col>15</xdr:col>
      <xdr:colOff>19050</xdr:colOff>
      <xdr:row>27</xdr:row>
      <xdr:rowOff>57150</xdr:rowOff>
    </xdr:from>
    <xdr:to>
      <xdr:col>15</xdr:col>
      <xdr:colOff>238125</xdr:colOff>
      <xdr:row>28</xdr:row>
      <xdr:rowOff>133350</xdr:rowOff>
    </xdr:to>
    <xdr:sp>
      <xdr:nvSpPr>
        <xdr:cNvPr id="3" name="AutoShape 8"/>
        <xdr:cNvSpPr>
          <a:spLocks/>
        </xdr:cNvSpPr>
      </xdr:nvSpPr>
      <xdr:spPr>
        <a:xfrm>
          <a:off x="8715375" y="4552950"/>
          <a:ext cx="219075" cy="238125"/>
        </a:xfrm>
        <a:prstGeom prst="rect"/>
        <a:noFill/>
      </xdr:spPr>
      <xdr:txBody>
        <a:bodyPr fromWordArt="1" wrap="none">
          <a:prstTxWarp prst="textPlain"/>
        </a:bodyPr>
        <a:p>
          <a:pPr algn="ctr"/>
          <a:r>
            <a:rPr sz="900" kern="10" spc="0">
              <a:ln w="9525" cmpd="sng">
                <a:noFill/>
              </a:ln>
              <a:solidFill>
                <a:srgbClr val="000000"/>
              </a:solidFill>
              <a:latin typeface="Arial Black"/>
              <a:cs typeface="Arial Black"/>
            </a:rPr>
            <a:t>20
</a:t>
          </a:r>
        </a:p>
      </xdr:txBody>
    </xdr:sp>
    <xdr:clientData/>
  </xdr:twoCellAnchor>
  <xdr:twoCellAnchor>
    <xdr:from>
      <xdr:col>16</xdr:col>
      <xdr:colOff>104775</xdr:colOff>
      <xdr:row>27</xdr:row>
      <xdr:rowOff>57150</xdr:rowOff>
    </xdr:from>
    <xdr:to>
      <xdr:col>16</xdr:col>
      <xdr:colOff>323850</xdr:colOff>
      <xdr:row>29</xdr:row>
      <xdr:rowOff>123825</xdr:rowOff>
    </xdr:to>
    <xdr:sp>
      <xdr:nvSpPr>
        <xdr:cNvPr id="4" name="AutoShape 9"/>
        <xdr:cNvSpPr>
          <a:spLocks/>
        </xdr:cNvSpPr>
      </xdr:nvSpPr>
      <xdr:spPr>
        <a:xfrm>
          <a:off x="9410700" y="4552950"/>
          <a:ext cx="219075" cy="390525"/>
        </a:xfrm>
        <a:prstGeom prst="rect"/>
        <a:noFill/>
      </xdr:spPr>
      <xdr:txBody>
        <a:bodyPr fromWordArt="1" wrap="none">
          <a:prstTxWarp prst="textPlain"/>
        </a:bodyPr>
        <a:p>
          <a:pPr algn="ctr"/>
          <a:r>
            <a:rPr sz="900" kern="10" spc="0">
              <a:ln w="9525" cmpd="sng">
                <a:noFill/>
              </a:ln>
              <a:solidFill>
                <a:srgbClr val="000000"/>
              </a:solidFill>
              <a:latin typeface="Arial Black"/>
              <a:cs typeface="Arial Black"/>
            </a:rPr>
            <a:t>30
</a:t>
          </a:r>
        </a:p>
      </xdr:txBody>
    </xdr:sp>
    <xdr:clientData/>
  </xdr:twoCellAnchor>
  <xdr:twoCellAnchor>
    <xdr:from>
      <xdr:col>13</xdr:col>
      <xdr:colOff>552450</xdr:colOff>
      <xdr:row>27</xdr:row>
      <xdr:rowOff>57150</xdr:rowOff>
    </xdr:from>
    <xdr:to>
      <xdr:col>14</xdr:col>
      <xdr:colOff>161925</xdr:colOff>
      <xdr:row>27</xdr:row>
      <xdr:rowOff>133350</xdr:rowOff>
    </xdr:to>
    <xdr:sp>
      <xdr:nvSpPr>
        <xdr:cNvPr id="5" name="AutoShape 7"/>
        <xdr:cNvSpPr>
          <a:spLocks/>
        </xdr:cNvSpPr>
      </xdr:nvSpPr>
      <xdr:spPr>
        <a:xfrm>
          <a:off x="8029575" y="4552950"/>
          <a:ext cx="219075" cy="76200"/>
        </a:xfrm>
        <a:prstGeom prst="rect"/>
        <a:noFill/>
      </xdr:spPr>
      <xdr:txBody>
        <a:bodyPr fromWordArt="1" wrap="none">
          <a:prstTxWarp prst="textPlain"/>
        </a:bodyPr>
        <a:p>
          <a:pPr algn="ctr"/>
          <a:r>
            <a:rPr sz="900" kern="10" spc="0">
              <a:ln w="9525" cmpd="sng">
                <a:noFill/>
              </a:ln>
              <a:solidFill>
                <a:srgbClr val="000000"/>
              </a:solidFill>
              <a:latin typeface="Arial Black"/>
              <a:cs typeface="Arial Black"/>
            </a:rPr>
            <a:t>10
</a:t>
          </a:r>
        </a:p>
      </xdr:txBody>
    </xdr:sp>
    <xdr:clientData/>
  </xdr:twoCellAnchor>
  <xdr:twoCellAnchor>
    <xdr:from>
      <xdr:col>17</xdr:col>
      <xdr:colOff>161925</xdr:colOff>
      <xdr:row>27</xdr:row>
      <xdr:rowOff>38100</xdr:rowOff>
    </xdr:from>
    <xdr:to>
      <xdr:col>17</xdr:col>
      <xdr:colOff>419100</xdr:colOff>
      <xdr:row>27</xdr:row>
      <xdr:rowOff>133350</xdr:rowOff>
    </xdr:to>
    <xdr:sp>
      <xdr:nvSpPr>
        <xdr:cNvPr id="6" name="AutoShape 10"/>
        <xdr:cNvSpPr>
          <a:spLocks/>
        </xdr:cNvSpPr>
      </xdr:nvSpPr>
      <xdr:spPr>
        <a:xfrm>
          <a:off x="10077450" y="4533900"/>
          <a:ext cx="257175" cy="95250"/>
        </a:xfrm>
        <a:prstGeom prst="rect"/>
        <a:noFill/>
      </xdr:spPr>
      <xdr:txBody>
        <a:bodyPr fromWordArt="1" wrap="none">
          <a:prstTxWarp prst="textPlain">
            <a:avLst>
              <a:gd name="adj" fmla="val 56250"/>
            </a:avLst>
          </a:prstTxWarp>
        </a:bodyPr>
        <a:p>
          <a:pPr algn="ctr"/>
          <a:r>
            <a:rPr sz="900" kern="10" spc="0">
              <a:ln w="9525" cmpd="sng">
                <a:noFill/>
              </a:ln>
              <a:solidFill>
                <a:srgbClr val="000000"/>
              </a:solidFill>
              <a:latin typeface="Arial Black"/>
              <a:cs typeface="Arial Black"/>
            </a:rPr>
            <a:t>45
</a:t>
          </a:r>
        </a:p>
      </xdr:txBody>
    </xdr:sp>
    <xdr:clientData/>
  </xdr:twoCellAnchor>
  <xdr:twoCellAnchor>
    <xdr:from>
      <xdr:col>18</xdr:col>
      <xdr:colOff>285750</xdr:colOff>
      <xdr:row>27</xdr:row>
      <xdr:rowOff>47625</xdr:rowOff>
    </xdr:from>
    <xdr:to>
      <xdr:col>18</xdr:col>
      <xdr:colOff>504825</xdr:colOff>
      <xdr:row>27</xdr:row>
      <xdr:rowOff>142875</xdr:rowOff>
    </xdr:to>
    <xdr:sp>
      <xdr:nvSpPr>
        <xdr:cNvPr id="7" name="AutoShape 11"/>
        <xdr:cNvSpPr>
          <a:spLocks/>
        </xdr:cNvSpPr>
      </xdr:nvSpPr>
      <xdr:spPr>
        <a:xfrm>
          <a:off x="10810875" y="4543425"/>
          <a:ext cx="219075" cy="95250"/>
        </a:xfrm>
        <a:prstGeom prst="rect"/>
        <a:noFill/>
      </xdr:spPr>
      <xdr:txBody>
        <a:bodyPr fromWordArt="1" wrap="none">
          <a:prstTxWarp prst="textPlain"/>
        </a:bodyPr>
        <a:p>
          <a:pPr algn="ctr"/>
          <a:r>
            <a:rPr sz="900" kern="10" spc="0">
              <a:ln w="9525" cmpd="sng">
                <a:noFill/>
              </a:ln>
              <a:solidFill>
                <a:srgbClr val="000000"/>
              </a:solidFill>
              <a:latin typeface="Arial Black"/>
              <a:cs typeface="Arial Black"/>
            </a:rPr>
            <a:t>60
</a:t>
          </a:r>
        </a:p>
      </xdr:txBody>
    </xdr:sp>
    <xdr:clientData/>
  </xdr:twoCellAnchor>
  <xdr:twoCellAnchor>
    <xdr:from>
      <xdr:col>19</xdr:col>
      <xdr:colOff>342900</xdr:colOff>
      <xdr:row>27</xdr:row>
      <xdr:rowOff>38100</xdr:rowOff>
    </xdr:from>
    <xdr:to>
      <xdr:col>19</xdr:col>
      <xdr:colOff>561975</xdr:colOff>
      <xdr:row>29</xdr:row>
      <xdr:rowOff>0</xdr:rowOff>
    </xdr:to>
    <xdr:sp>
      <xdr:nvSpPr>
        <xdr:cNvPr id="8" name="AutoShape 12"/>
        <xdr:cNvSpPr>
          <a:spLocks/>
        </xdr:cNvSpPr>
      </xdr:nvSpPr>
      <xdr:spPr>
        <a:xfrm>
          <a:off x="11477625" y="4533900"/>
          <a:ext cx="219075" cy="285750"/>
        </a:xfrm>
        <a:prstGeom prst="rect"/>
        <a:noFill/>
      </xdr:spPr>
      <xdr:txBody>
        <a:bodyPr fromWordArt="1" wrap="none">
          <a:prstTxWarp prst="textPlain"/>
        </a:bodyPr>
        <a:p>
          <a:pPr algn="ctr"/>
          <a:r>
            <a:rPr sz="900" kern="10" spc="0">
              <a:ln w="9525" cmpd="sng">
                <a:noFill/>
              </a:ln>
              <a:solidFill>
                <a:srgbClr val="000000"/>
              </a:solidFill>
              <a:latin typeface="Arial Black"/>
              <a:cs typeface="Arial Black"/>
            </a:rPr>
            <a:t>75
</a:t>
          </a:r>
        </a:p>
      </xdr:txBody>
    </xdr:sp>
    <xdr:clientData/>
  </xdr:twoCellAnchor>
  <xdr:twoCellAnchor>
    <xdr:from>
      <xdr:col>13</xdr:col>
      <xdr:colOff>142875</xdr:colOff>
      <xdr:row>18</xdr:row>
      <xdr:rowOff>19050</xdr:rowOff>
    </xdr:from>
    <xdr:to>
      <xdr:col>19</xdr:col>
      <xdr:colOff>9525</xdr:colOff>
      <xdr:row>27</xdr:row>
      <xdr:rowOff>0</xdr:rowOff>
    </xdr:to>
    <xdr:sp>
      <xdr:nvSpPr>
        <xdr:cNvPr id="9" name="Line 13"/>
        <xdr:cNvSpPr>
          <a:spLocks/>
        </xdr:cNvSpPr>
      </xdr:nvSpPr>
      <xdr:spPr>
        <a:xfrm flipV="1">
          <a:off x="7620000" y="3057525"/>
          <a:ext cx="3524250" cy="1438275"/>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0.79425</cdr:x>
      <cdr:y>0.373</cdr:y>
    </cdr:from>
    <cdr:to>
      <cdr:x>0.79425</cdr:x>
      <cdr:y>0.5915</cdr:y>
    </cdr:to>
    <cdr:sp>
      <cdr:nvSpPr>
        <cdr:cNvPr id="1" name="Line 1"/>
        <cdr:cNvSpPr>
          <a:spLocks/>
        </cdr:cNvSpPr>
      </cdr:nvSpPr>
      <cdr:spPr>
        <a:xfrm flipV="1">
          <a:off x="0" y="0"/>
          <a:ext cx="0" cy="0"/>
        </a:xfrm>
        <a:prstGeom prst="line">
          <a:avLst/>
        </a:prstGeom>
        <a:solidFill>
          <a:srgbClr val="FFFFFF"/>
        </a:solidFill>
        <a:ln w="1"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61</xdr:row>
      <xdr:rowOff>0</xdr:rowOff>
    </xdr:from>
    <xdr:to>
      <xdr:col>7</xdr:col>
      <xdr:colOff>0</xdr:colOff>
      <xdr:row>61</xdr:row>
      <xdr:rowOff>0</xdr:rowOff>
    </xdr:to>
    <xdr:graphicFrame>
      <xdr:nvGraphicFramePr>
        <xdr:cNvPr id="1" name="Chart 1"/>
        <xdr:cNvGraphicFramePr/>
      </xdr:nvGraphicFramePr>
      <xdr:xfrm>
        <a:off x="4371975" y="11315700"/>
        <a:ext cx="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61</xdr:row>
      <xdr:rowOff>0</xdr:rowOff>
    </xdr:from>
    <xdr:to>
      <xdr:col>7</xdr:col>
      <xdr:colOff>0</xdr:colOff>
      <xdr:row>61</xdr:row>
      <xdr:rowOff>0</xdr:rowOff>
    </xdr:to>
    <xdr:sp>
      <xdr:nvSpPr>
        <xdr:cNvPr id="2" name="Line 2"/>
        <xdr:cNvSpPr>
          <a:spLocks/>
        </xdr:cNvSpPr>
      </xdr:nvSpPr>
      <xdr:spPr>
        <a:xfrm flipV="1">
          <a:off x="4371975" y="11315700"/>
          <a:ext cx="0" cy="0"/>
        </a:xfrm>
        <a:prstGeom prst="line">
          <a:avLst/>
        </a:prstGeom>
        <a:solidFill>
          <a:srgbClr val="FFFFFF"/>
        </a:solidFill>
        <a:ln w="1"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khiv\draftsurv%20Slite%201407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ment"/>
      <sheetName val="Module2"/>
      <sheetName val="Initi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seasoft.by.ru/" TargetMode="External" /><Relationship Id="rId2" Type="http://schemas.openxmlformats.org/officeDocument/2006/relationships/hyperlink" Target="mailto:navigo@imail.ru" TargetMode="Externa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5:AG168"/>
  <sheetViews>
    <sheetView showGridLines="0" tabSelected="1" workbookViewId="0" topLeftCell="A1">
      <selection activeCell="A1" sqref="A1"/>
    </sheetView>
  </sheetViews>
  <sheetFormatPr defaultColWidth="9.140625" defaultRowHeight="12.75"/>
  <cols>
    <col min="1" max="1" width="5.8515625" style="87" customWidth="1"/>
    <col min="2" max="2" width="16.8515625" style="87" customWidth="1"/>
    <col min="3" max="3" width="15.57421875" style="87" customWidth="1"/>
    <col min="4" max="4" width="13.8515625" style="87" customWidth="1"/>
    <col min="5" max="5" width="9.57421875" style="87" bestFit="1" customWidth="1"/>
    <col min="6" max="6" width="5.00390625" style="87" customWidth="1"/>
    <col min="7" max="7" width="9.57421875" style="87" bestFit="1" customWidth="1"/>
    <col min="8" max="8" width="7.8515625" style="87" customWidth="1"/>
    <col min="9" max="16384" width="9.140625" style="87" customWidth="1"/>
  </cols>
  <sheetData>
    <row r="1" ht="26.25" customHeight="1"/>
    <row r="2" ht="22.5" customHeight="1"/>
    <row r="3" ht="22.5" customHeight="1"/>
    <row r="4" ht="32.25" customHeight="1" thickBot="1"/>
    <row r="5" spans="2:5" ht="15" customHeight="1" thickTop="1">
      <c r="B5" s="558" t="s">
        <v>47</v>
      </c>
      <c r="C5" s="559" t="s">
        <v>294</v>
      </c>
      <c r="D5" s="559" t="s">
        <v>295</v>
      </c>
      <c r="E5" s="560" t="s">
        <v>296</v>
      </c>
    </row>
    <row r="6" spans="1:8" ht="12.75">
      <c r="A6" s="564"/>
      <c r="B6" s="563" t="s">
        <v>1</v>
      </c>
      <c r="C6" s="370">
        <v>84.5</v>
      </c>
      <c r="D6" s="6">
        <v>0.2</v>
      </c>
      <c r="E6" s="552">
        <f aca="true" t="shared" si="0" ref="E6:E19">D6*$H$17</f>
        <v>0.2</v>
      </c>
      <c r="H6" s="371"/>
    </row>
    <row r="7" spans="1:5" ht="12.75">
      <c r="A7" s="382" t="s">
        <v>369</v>
      </c>
      <c r="B7" s="563" t="s">
        <v>55</v>
      </c>
      <c r="C7" s="370">
        <v>37</v>
      </c>
      <c r="D7" s="6">
        <v>3.11</v>
      </c>
      <c r="E7" s="552">
        <f t="shared" si="0"/>
        <v>3.11</v>
      </c>
    </row>
    <row r="8" spans="1:5" ht="12.75">
      <c r="A8" s="382" t="s">
        <v>371</v>
      </c>
      <c r="B8" s="563" t="s">
        <v>56</v>
      </c>
      <c r="C8" s="370">
        <v>37</v>
      </c>
      <c r="D8" s="6">
        <v>3.11</v>
      </c>
      <c r="E8" s="552">
        <f t="shared" si="0"/>
        <v>3.11</v>
      </c>
    </row>
    <row r="9" spans="1:5" ht="12.75">
      <c r="A9" s="382" t="s">
        <v>372</v>
      </c>
      <c r="B9" s="563" t="s">
        <v>57</v>
      </c>
      <c r="C9" s="370">
        <v>30.1</v>
      </c>
      <c r="D9" s="6">
        <v>2.59</v>
      </c>
      <c r="E9" s="552">
        <f t="shared" si="0"/>
        <v>2.59</v>
      </c>
    </row>
    <row r="10" spans="1:5" ht="12.75">
      <c r="A10" s="382" t="s">
        <v>373</v>
      </c>
      <c r="B10" s="563" t="s">
        <v>58</v>
      </c>
      <c r="C10" s="370">
        <v>30.1</v>
      </c>
      <c r="D10" s="6">
        <v>2.59</v>
      </c>
      <c r="E10" s="552">
        <f t="shared" si="0"/>
        <v>2.59</v>
      </c>
    </row>
    <row r="11" spans="1:5" ht="12.75">
      <c r="A11" s="382"/>
      <c r="B11" s="563" t="s">
        <v>4</v>
      </c>
      <c r="C11" s="370">
        <v>65.7</v>
      </c>
      <c r="D11" s="6">
        <v>7.68</v>
      </c>
      <c r="E11" s="552">
        <f t="shared" si="0"/>
        <v>7.68</v>
      </c>
    </row>
    <row r="12" spans="1:5" ht="12.75">
      <c r="A12" s="382" t="s">
        <v>226</v>
      </c>
      <c r="B12" s="551" t="s">
        <v>59</v>
      </c>
      <c r="C12" s="370">
        <v>63.6</v>
      </c>
      <c r="D12" s="6">
        <v>7.5</v>
      </c>
      <c r="E12" s="552">
        <f t="shared" si="0"/>
        <v>7.5</v>
      </c>
    </row>
    <row r="13" spans="1:5" ht="12.75">
      <c r="A13" s="382"/>
      <c r="B13" s="551" t="s">
        <v>60</v>
      </c>
      <c r="C13" s="370">
        <v>63.6</v>
      </c>
      <c r="D13" s="6">
        <v>7.5</v>
      </c>
      <c r="E13" s="552">
        <f t="shared" si="0"/>
        <v>7.5</v>
      </c>
    </row>
    <row r="14" spans="1:5" ht="12.75">
      <c r="A14" s="382" t="s">
        <v>368</v>
      </c>
      <c r="B14" s="561" t="s">
        <v>61</v>
      </c>
      <c r="C14" s="370">
        <v>26.6</v>
      </c>
      <c r="D14" s="6">
        <v>2.33</v>
      </c>
      <c r="E14" s="552">
        <f t="shared" si="0"/>
        <v>2.33</v>
      </c>
    </row>
    <row r="15" spans="1:5" ht="12.75">
      <c r="A15" s="382" t="s">
        <v>369</v>
      </c>
      <c r="B15" s="561" t="s">
        <v>62</v>
      </c>
      <c r="C15" s="370">
        <v>26.6</v>
      </c>
      <c r="D15" s="6">
        <v>2.33</v>
      </c>
      <c r="E15" s="552">
        <f t="shared" si="0"/>
        <v>2.33</v>
      </c>
    </row>
    <row r="16" spans="1:5" ht="12.75">
      <c r="A16" s="382" t="s">
        <v>370</v>
      </c>
      <c r="B16" s="561" t="s">
        <v>8</v>
      </c>
      <c r="C16" s="370">
        <v>47.3</v>
      </c>
      <c r="D16" s="222">
        <v>9.28</v>
      </c>
      <c r="E16" s="552">
        <f t="shared" si="0"/>
        <v>9.28</v>
      </c>
    </row>
    <row r="17" spans="1:8" ht="12.75">
      <c r="A17" s="382"/>
      <c r="B17" s="561" t="s">
        <v>63</v>
      </c>
      <c r="C17" s="370">
        <v>25.4</v>
      </c>
      <c r="D17" s="6">
        <v>1.65</v>
      </c>
      <c r="E17" s="552">
        <f t="shared" si="0"/>
        <v>1.65</v>
      </c>
      <c r="G17" s="372" t="s">
        <v>45</v>
      </c>
      <c r="H17" s="656">
        <v>1</v>
      </c>
    </row>
    <row r="18" spans="2:5" ht="12.75">
      <c r="B18" s="561" t="s">
        <v>64</v>
      </c>
      <c r="C18" s="370">
        <v>25.4</v>
      </c>
      <c r="D18" s="6">
        <v>1.65</v>
      </c>
      <c r="E18" s="552">
        <f t="shared" si="0"/>
        <v>1.65</v>
      </c>
    </row>
    <row r="19" spans="2:5" ht="13.5" thickBot="1">
      <c r="B19" s="562" t="s">
        <v>10</v>
      </c>
      <c r="C19" s="373">
        <v>43.65</v>
      </c>
      <c r="D19" s="99">
        <v>1.29</v>
      </c>
      <c r="E19" s="553">
        <f t="shared" si="0"/>
        <v>1.29</v>
      </c>
    </row>
    <row r="20" spans="2:5" ht="13.5" thickBot="1">
      <c r="B20" s="805" t="s">
        <v>67</v>
      </c>
      <c r="C20" s="374">
        <f>SUM(C6:C19)</f>
        <v>606.55</v>
      </c>
      <c r="D20" s="374">
        <f>SUM(D6:D19)</f>
        <v>52.809999999999995</v>
      </c>
      <c r="E20" s="374">
        <f>SUM(E6:E19)</f>
        <v>52.809999999999995</v>
      </c>
    </row>
    <row r="21" spans="2:8" ht="12.75">
      <c r="B21" s="756" t="s">
        <v>65</v>
      </c>
      <c r="C21" s="554">
        <v>16.5</v>
      </c>
      <c r="D21" s="268">
        <v>6</v>
      </c>
      <c r="E21" s="555">
        <f>D21</f>
        <v>6</v>
      </c>
      <c r="G21" s="645" t="s">
        <v>444</v>
      </c>
      <c r="H21" s="646">
        <v>1.5</v>
      </c>
    </row>
    <row r="22" spans="2:8" ht="13.5" thickBot="1">
      <c r="B22" s="757" t="s">
        <v>66</v>
      </c>
      <c r="C22" s="373">
        <v>16.5</v>
      </c>
      <c r="D22" s="227">
        <v>6</v>
      </c>
      <c r="E22" s="556">
        <f>D22</f>
        <v>6</v>
      </c>
      <c r="G22" s="644" t="s">
        <v>443</v>
      </c>
      <c r="H22" s="875">
        <f>H33</f>
        <v>3.5</v>
      </c>
    </row>
    <row r="23" spans="2:8" ht="13.5" thickBot="1">
      <c r="B23" s="804" t="s">
        <v>68</v>
      </c>
      <c r="C23" s="374">
        <f>SUM(C21:C22)</f>
        <v>33</v>
      </c>
      <c r="D23" s="374">
        <f>SUM(D21:D22)</f>
        <v>12</v>
      </c>
      <c r="E23" s="374">
        <f>SUM(E21:E22)</f>
        <v>12</v>
      </c>
      <c r="G23" s="644" t="s">
        <v>560</v>
      </c>
      <c r="H23" s="647">
        <f>E23-H21*H22</f>
        <v>6.75</v>
      </c>
    </row>
    <row r="24" spans="2:5" ht="12.75">
      <c r="B24" s="808" t="s">
        <v>6</v>
      </c>
      <c r="C24" s="554">
        <v>113.6</v>
      </c>
      <c r="D24" s="872">
        <v>14.5</v>
      </c>
      <c r="E24" s="866">
        <f>D24*$H$25</f>
        <v>12.325</v>
      </c>
    </row>
    <row r="25" spans="2:8" ht="12.75">
      <c r="B25" s="809" t="s">
        <v>8</v>
      </c>
      <c r="C25" s="370">
        <v>47.3</v>
      </c>
      <c r="D25" s="863"/>
      <c r="E25" s="867"/>
      <c r="G25" s="372" t="s">
        <v>445</v>
      </c>
      <c r="H25" s="270">
        <v>0.85</v>
      </c>
    </row>
    <row r="26" spans="2:8" ht="12.75">
      <c r="B26" s="809" t="s">
        <v>8</v>
      </c>
      <c r="C26" s="370">
        <v>35.4</v>
      </c>
      <c r="D26" s="873">
        <v>15.3</v>
      </c>
      <c r="E26" s="867">
        <f>D26*$H$25</f>
        <v>13.005</v>
      </c>
      <c r="G26" s="645"/>
      <c r="H26" s="646"/>
    </row>
    <row r="27" spans="2:8" ht="12.75">
      <c r="B27" s="809" t="s">
        <v>11</v>
      </c>
      <c r="C27" s="370">
        <f>6.58+6.58</f>
        <v>13.16</v>
      </c>
      <c r="D27" s="219">
        <v>9</v>
      </c>
      <c r="E27" s="867">
        <f>D27*$H$25</f>
        <v>7.6499999999999995</v>
      </c>
      <c r="G27" s="644"/>
      <c r="H27" s="647"/>
    </row>
    <row r="28" spans="2:12" ht="13.5" thickBot="1">
      <c r="B28" s="810" t="s">
        <v>12</v>
      </c>
      <c r="C28" s="373">
        <v>4.7</v>
      </c>
      <c r="D28" s="864">
        <v>3</v>
      </c>
      <c r="E28" s="868">
        <f>D28*$H$25</f>
        <v>2.55</v>
      </c>
      <c r="G28" s="644"/>
      <c r="H28" s="647"/>
      <c r="J28" s="87" t="s">
        <v>559</v>
      </c>
      <c r="K28" s="181" t="s">
        <v>557</v>
      </c>
      <c r="L28" s="181" t="s">
        <v>558</v>
      </c>
    </row>
    <row r="29" spans="2:12" ht="13.5" thickBot="1">
      <c r="B29" s="806" t="s">
        <v>277</v>
      </c>
      <c r="C29" s="374">
        <f>SUM(C24:C28)</f>
        <v>214.15999999999997</v>
      </c>
      <c r="D29" s="865">
        <f>SUM(D24:D28)</f>
        <v>41.8</v>
      </c>
      <c r="E29" s="865">
        <f>SUM(E24:E28)</f>
        <v>35.529999999999994</v>
      </c>
      <c r="H29" s="648"/>
      <c r="J29" s="110">
        <f>E23-1.5*H33</f>
        <v>6.75</v>
      </c>
      <c r="K29" s="862">
        <f>J29/2</f>
        <v>3.375</v>
      </c>
      <c r="L29" s="859"/>
    </row>
    <row r="30" spans="2:8" ht="12.75">
      <c r="B30" s="758" t="s">
        <v>17</v>
      </c>
      <c r="C30" s="375">
        <v>4</v>
      </c>
      <c r="D30" s="883">
        <v>0.8</v>
      </c>
      <c r="E30" s="555">
        <f>D30*$H$30</f>
        <v>0.7200000000000001</v>
      </c>
      <c r="G30" s="372" t="s">
        <v>174</v>
      </c>
      <c r="H30" s="270">
        <v>0.9</v>
      </c>
    </row>
    <row r="31" spans="2:12" ht="13.5" thickBot="1">
      <c r="B31" s="759" t="s">
        <v>17</v>
      </c>
      <c r="C31" s="373">
        <v>1.5</v>
      </c>
      <c r="D31" s="882">
        <v>0.87</v>
      </c>
      <c r="E31" s="557">
        <f>D31*$H$30</f>
        <v>0.783</v>
      </c>
      <c r="J31" s="87" t="s">
        <v>556</v>
      </c>
      <c r="K31" s="181" t="s">
        <v>557</v>
      </c>
      <c r="L31" s="181" t="s">
        <v>558</v>
      </c>
    </row>
    <row r="32" spans="2:12" ht="13.5" thickBot="1">
      <c r="B32" s="807" t="s">
        <v>111</v>
      </c>
      <c r="C32" s="377">
        <f>SUM(C30:C31)</f>
        <v>5.5</v>
      </c>
      <c r="D32" s="377">
        <f>SUM(D30:D31)</f>
        <v>1.67</v>
      </c>
      <c r="E32" s="377">
        <f>SUM(E30:E31)</f>
        <v>1.5030000000000001</v>
      </c>
      <c r="K32" s="869">
        <f>D29-5.5*H33-D27-D28</f>
        <v>10.549999999999997</v>
      </c>
      <c r="L32" s="110">
        <f>SUM(L33:L34)</f>
        <v>29.8</v>
      </c>
    </row>
    <row r="33" spans="2:12" ht="16.5" thickBot="1" thickTop="1">
      <c r="B33" s="777" t="s">
        <v>365</v>
      </c>
      <c r="C33" s="781">
        <v>85</v>
      </c>
      <c r="D33" s="778" t="s">
        <v>494</v>
      </c>
      <c r="E33" s="780">
        <v>18</v>
      </c>
      <c r="G33" s="860" t="s">
        <v>443</v>
      </c>
      <c r="H33" s="861">
        <v>3.5</v>
      </c>
      <c r="J33" s="87" t="s">
        <v>6</v>
      </c>
      <c r="K33" s="870">
        <f>K32-K34</f>
        <v>3.5166666666666657</v>
      </c>
      <c r="L33" s="872">
        <v>14.5</v>
      </c>
    </row>
    <row r="34" spans="2:12" ht="12.75">
      <c r="B34" s="811" t="s">
        <v>540</v>
      </c>
      <c r="C34" s="377"/>
      <c r="D34" s="377"/>
      <c r="E34" s="377"/>
      <c r="G34" s="919"/>
      <c r="H34" s="685"/>
      <c r="J34" s="87" t="s">
        <v>8</v>
      </c>
      <c r="K34" s="871">
        <f>K32*2/3</f>
        <v>7.033333333333331</v>
      </c>
      <c r="L34" s="873">
        <v>15.3</v>
      </c>
    </row>
    <row r="35" spans="2:11" ht="12.75">
      <c r="B35" s="376"/>
      <c r="C35" s="377"/>
      <c r="D35" s="377"/>
      <c r="E35" s="377"/>
      <c r="G35" s="919"/>
      <c r="H35" s="685"/>
      <c r="K35" s="871"/>
    </row>
    <row r="36" spans="1:8" ht="12.75">
      <c r="A36" s="87" t="s">
        <v>91</v>
      </c>
      <c r="D36" s="396"/>
      <c r="H36" s="874"/>
    </row>
    <row r="37" spans="2:8" ht="12.75">
      <c r="B37" s="744" t="s">
        <v>472</v>
      </c>
      <c r="G37" s="743" t="s">
        <v>471</v>
      </c>
      <c r="H37" s="685"/>
    </row>
    <row r="38" ht="12.75">
      <c r="D38" s="755" t="s">
        <v>233</v>
      </c>
    </row>
    <row r="40" ht="16.5" customHeight="1">
      <c r="D40" s="917" t="s">
        <v>572</v>
      </c>
    </row>
    <row r="41" ht="13.5" customHeight="1"/>
    <row r="42" ht="13.5" customHeight="1"/>
    <row r="43" ht="13.5" customHeight="1"/>
    <row r="44" ht="12.75" customHeight="1"/>
    <row r="45" ht="14.25" customHeight="1"/>
    <row r="46" ht="12.75"/>
    <row r="47" ht="17.25" customHeight="1"/>
    <row r="48" ht="17.25" customHeight="1"/>
    <row r="49" ht="9.75" customHeight="1" thickBot="1"/>
    <row r="50" spans="3:4" ht="14.25" customHeight="1" thickBot="1">
      <c r="C50" s="378" t="s">
        <v>297</v>
      </c>
      <c r="D50" s="379">
        <f>E32+E29+E23+E20</f>
        <v>101.84299999999999</v>
      </c>
    </row>
    <row r="51" ht="6" customHeight="1" thickBot="1"/>
    <row r="52" spans="3:4" ht="13.5" thickBot="1">
      <c r="C52" s="380" t="s">
        <v>46</v>
      </c>
      <c r="D52" s="381">
        <f>Stability!D23</f>
        <v>2947</v>
      </c>
    </row>
    <row r="53" spans="3:4" ht="7.5" customHeight="1" thickBot="1">
      <c r="C53" s="380"/>
      <c r="D53" s="382"/>
    </row>
    <row r="54" spans="3:33" ht="13.5" thickBot="1">
      <c r="C54" s="380" t="s">
        <v>34</v>
      </c>
      <c r="D54" s="383">
        <f>Stability!D26</f>
        <v>3138.843</v>
      </c>
      <c r="E54" s="918" t="str">
        <f>IF(D54&gt;3220,"Summer Deadweight OVERLOADED !!!","Summer draft  not exeeded")</f>
        <v>Summer draft  not exeeded</v>
      </c>
      <c r="F54" s="918"/>
      <c r="G54" s="918"/>
      <c r="H54" s="918"/>
      <c r="I54" s="918"/>
      <c r="J54" s="918"/>
      <c r="K54" s="918"/>
      <c r="L54" s="918"/>
      <c r="M54" s="918"/>
      <c r="N54" s="918"/>
      <c r="O54" s="918"/>
      <c r="P54" s="918"/>
      <c r="Q54" s="918"/>
      <c r="R54" s="918"/>
      <c r="S54" s="918"/>
      <c r="T54" s="918"/>
      <c r="U54" s="918"/>
      <c r="V54" s="918"/>
      <c r="W54" s="918"/>
      <c r="X54" s="918"/>
      <c r="Y54" s="918"/>
      <c r="Z54" s="918"/>
      <c r="AA54" s="918"/>
      <c r="AB54" s="918"/>
      <c r="AC54" s="918"/>
      <c r="AD54" s="918"/>
      <c r="AE54" s="918"/>
      <c r="AF54" s="918"/>
      <c r="AG54" s="918"/>
    </row>
    <row r="55" ht="7.5" customHeight="1" thickBot="1">
      <c r="C55" s="380"/>
    </row>
    <row r="56" spans="3:4" ht="13.5" thickBot="1">
      <c r="C56" s="380" t="s">
        <v>50</v>
      </c>
      <c r="D56" s="383">
        <f>Stability!D28</f>
        <v>4074.843</v>
      </c>
    </row>
    <row r="57" ht="13.5" thickBot="1"/>
    <row r="58" spans="3:5" ht="13.5" thickBot="1">
      <c r="C58" s="384" t="s">
        <v>302</v>
      </c>
      <c r="D58" s="385">
        <f>Stability!G38</f>
        <v>5.617130838367963</v>
      </c>
      <c r="E58" s="386" t="s">
        <v>330</v>
      </c>
    </row>
    <row r="59" ht="7.5" customHeight="1" thickBot="1">
      <c r="D59" s="382"/>
    </row>
    <row r="60" spans="3:5" ht="13.5" thickBot="1">
      <c r="C60" s="387" t="s">
        <v>304</v>
      </c>
      <c r="D60" s="740">
        <f>Stability!B40</f>
        <v>5.615109411764713</v>
      </c>
      <c r="E60" s="388" t="str">
        <f>IF(Initial!B19=1,"summer sea water max. Draft is 5.591 m","summer fresh water max. Draft is 5.71 m")</f>
        <v>summer fresh water max. Draft is 5.71 m</v>
      </c>
    </row>
    <row r="61" ht="6.75" customHeight="1" thickBot="1"/>
    <row r="62" spans="3:5" ht="13.5" thickBot="1">
      <c r="C62" s="384" t="s">
        <v>303</v>
      </c>
      <c r="D62" s="385">
        <f>Stability!G39</f>
        <v>5.613282340018272</v>
      </c>
      <c r="E62" s="386" t="s">
        <v>330</v>
      </c>
    </row>
    <row r="63" ht="8.25" customHeight="1" thickBot="1"/>
    <row r="64" spans="3:4" ht="13.5" thickBot="1">
      <c r="C64" s="389" t="s">
        <v>36</v>
      </c>
      <c r="D64" s="390">
        <f>D62-D58</f>
        <v>-0.003848498349690921</v>
      </c>
    </row>
    <row r="65" ht="13.5" thickBot="1"/>
    <row r="66" spans="3:5" ht="13.5" thickBot="1">
      <c r="C66" s="389" t="s">
        <v>162</v>
      </c>
      <c r="D66" s="391">
        <f>Initial!D71</f>
        <v>1.2837693845828562</v>
      </c>
      <c r="E66" s="386" t="s">
        <v>331</v>
      </c>
    </row>
    <row r="67" ht="5.25" customHeight="1" thickBot="1"/>
    <row r="68" spans="3:4" ht="13.5" thickBot="1">
      <c r="C68" s="389" t="s">
        <v>328</v>
      </c>
      <c r="D68" s="392">
        <f>Initial!D72</f>
        <v>9.153641029837821</v>
      </c>
    </row>
    <row r="72" ht="12.75">
      <c r="D72" s="739">
        <f ca="1">TODAY()</f>
        <v>36985</v>
      </c>
    </row>
    <row r="73" spans="2:6" ht="12.75">
      <c r="B73" s="196"/>
      <c r="C73" s="196"/>
      <c r="F73" s="393"/>
    </row>
    <row r="75" spans="3:4" ht="12.75">
      <c r="C75" s="394" t="s">
        <v>299</v>
      </c>
      <c r="D75" s="649" t="s">
        <v>535</v>
      </c>
    </row>
    <row r="76" ht="12.75">
      <c r="D76" s="395"/>
    </row>
    <row r="77" spans="3:4" ht="12.75">
      <c r="C77" s="394" t="s">
        <v>446</v>
      </c>
      <c r="D77" s="649" t="s">
        <v>536</v>
      </c>
    </row>
    <row r="78" ht="12.75"/>
    <row r="81" ht="12.75">
      <c r="B81" s="475"/>
    </row>
    <row r="82" ht="11.25" customHeight="1" thickBot="1"/>
    <row r="83" spans="3:4" ht="18" customHeight="1" thickBot="1">
      <c r="C83" s="473" t="s">
        <v>335</v>
      </c>
      <c r="D83" s="803">
        <v>1.01</v>
      </c>
    </row>
    <row r="84" spans="3:4" ht="12.75">
      <c r="C84" s="473"/>
      <c r="D84" s="103"/>
    </row>
    <row r="85" spans="3:7" ht="12.75">
      <c r="C85" s="382" t="s">
        <v>336</v>
      </c>
      <c r="D85" s="382" t="s">
        <v>337</v>
      </c>
      <c r="G85" s="798" t="s">
        <v>537</v>
      </c>
    </row>
    <row r="86" spans="2:7" ht="12.75">
      <c r="B86" s="444" t="s">
        <v>339</v>
      </c>
      <c r="C86" s="482">
        <f>D58</f>
        <v>5.617130838367963</v>
      </c>
      <c r="D86" s="643">
        <f>Initial!G47</f>
        <v>5.576080022757147</v>
      </c>
      <c r="F86" s="384" t="s">
        <v>538</v>
      </c>
      <c r="G86" s="799">
        <f>D86+Initial!H1*'Ballast &amp; Consumb'!D89</f>
        <v>5.575954485650473</v>
      </c>
    </row>
    <row r="87" spans="2:7" ht="12.75">
      <c r="B87" s="444" t="s">
        <v>333</v>
      </c>
      <c r="C87" s="741">
        <f>D60</f>
        <v>5.615109411764713</v>
      </c>
      <c r="D87" s="742">
        <f>Initial!G49</f>
        <v>5.566736167734427</v>
      </c>
      <c r="F87" s="384" t="s">
        <v>539</v>
      </c>
      <c r="G87" s="801">
        <f>G86/2+G88/2</f>
        <v>5.567446178984899</v>
      </c>
    </row>
    <row r="88" spans="2:7" ht="12.75">
      <c r="B88" s="444" t="s">
        <v>340</v>
      </c>
      <c r="C88" s="482">
        <f>D62</f>
        <v>5.613282340018272</v>
      </c>
      <c r="D88" s="643">
        <f>Initial!G48</f>
        <v>5.558285079364617</v>
      </c>
      <c r="F88" s="384" t="s">
        <v>359</v>
      </c>
      <c r="G88" s="799">
        <f>D88-Initial!H2*'Ballast &amp; Consumb'!D89</f>
        <v>5.5589378723193255</v>
      </c>
    </row>
    <row r="89" spans="2:7" ht="12.75">
      <c r="B89" s="444" t="s">
        <v>161</v>
      </c>
      <c r="C89" s="482">
        <f>D64</f>
        <v>-0.003848498349690921</v>
      </c>
      <c r="D89" s="643">
        <f>Initial!C45</f>
        <v>-0.01780116172649012</v>
      </c>
      <c r="F89" s="384" t="s">
        <v>161</v>
      </c>
      <c r="G89" s="800">
        <f>G88-G86</f>
        <v>-0.017016613331147568</v>
      </c>
    </row>
    <row r="91" spans="3:4" ht="12.75">
      <c r="C91" s="474" t="s">
        <v>338</v>
      </c>
      <c r="D91" s="482">
        <f>D87-C87</f>
        <v>-0.04837324403028642</v>
      </c>
    </row>
    <row r="97" ht="12.75"/>
    <row r="98" ht="12.75">
      <c r="D98" s="531"/>
    </row>
    <row r="99" ht="12.75"/>
    <row r="100" ht="12.75"/>
    <row r="101" ht="12.75"/>
    <row r="102" ht="12.75"/>
    <row r="103" ht="12.75"/>
    <row r="104" ht="12.75"/>
    <row r="115" ht="12.75"/>
    <row r="116" ht="12.75"/>
    <row r="117" ht="12.75"/>
    <row r="118" spans="4:5" ht="12.75">
      <c r="D118" s="630" t="s">
        <v>432</v>
      </c>
      <c r="E118" s="661">
        <f>D56</f>
        <v>4074.843</v>
      </c>
    </row>
    <row r="119" spans="4:5" ht="12.75">
      <c r="D119" s="444" t="s">
        <v>436</v>
      </c>
      <c r="E119" s="662">
        <f>GrainStab!G50</f>
        <v>4.173785321299496</v>
      </c>
    </row>
    <row r="120" spans="3:4" ht="12.75">
      <c r="C120" s="386" t="s">
        <v>433</v>
      </c>
      <c r="D120" s="632"/>
    </row>
    <row r="121" spans="3:4" ht="12.75">
      <c r="C121" s="386" t="s">
        <v>434</v>
      </c>
      <c r="D121" s="632"/>
    </row>
    <row r="123" spans="4:7" ht="12.75">
      <c r="D123" s="444" t="s">
        <v>435</v>
      </c>
      <c r="E123" s="635">
        <v>3600</v>
      </c>
      <c r="G123" s="639" t="s">
        <v>171</v>
      </c>
    </row>
    <row r="124" spans="4:7" ht="12.75">
      <c r="D124" s="384" t="s">
        <v>437</v>
      </c>
      <c r="E124" s="637">
        <v>4.55</v>
      </c>
      <c r="F124" s="641" t="s">
        <v>441</v>
      </c>
      <c r="G124" s="638">
        <v>693</v>
      </c>
    </row>
    <row r="125" spans="4:7" ht="12.75">
      <c r="D125" s="384" t="s">
        <v>438</v>
      </c>
      <c r="E125" s="637">
        <v>4.6</v>
      </c>
      <c r="F125" s="640"/>
      <c r="G125" s="638">
        <v>653</v>
      </c>
    </row>
    <row r="126" ht="12.75">
      <c r="F126" s="640"/>
    </row>
    <row r="127" spans="4:7" ht="12.75">
      <c r="D127" s="444" t="s">
        <v>439</v>
      </c>
      <c r="E127" s="635">
        <v>3700</v>
      </c>
      <c r="F127" s="640"/>
      <c r="G127" s="639" t="s">
        <v>171</v>
      </c>
    </row>
    <row r="128" spans="4:7" ht="12.75">
      <c r="D128" s="384" t="s">
        <v>437</v>
      </c>
      <c r="E128" s="637">
        <v>4.55</v>
      </c>
      <c r="F128" s="641" t="s">
        <v>441</v>
      </c>
      <c r="G128" s="638">
        <v>716</v>
      </c>
    </row>
    <row r="129" spans="4:7" ht="12.75">
      <c r="D129" s="384" t="s">
        <v>438</v>
      </c>
      <c r="E129" s="637">
        <v>4.6</v>
      </c>
      <c r="G129" s="638">
        <v>675</v>
      </c>
    </row>
    <row r="130" ht="5.25" customHeight="1"/>
    <row r="131" spans="3:7" ht="15.75">
      <c r="C131" s="642"/>
      <c r="D131" s="642"/>
      <c r="E131" s="642"/>
      <c r="F131" s="642"/>
      <c r="G131" s="642"/>
    </row>
    <row r="132" ht="5.25" customHeight="1"/>
    <row r="133" spans="4:6" ht="12.75">
      <c r="D133" s="633" t="s">
        <v>50</v>
      </c>
      <c r="E133" s="223">
        <f>GrainStab!O34</f>
        <v>4074.843</v>
      </c>
      <c r="F133" s="596" t="s">
        <v>411</v>
      </c>
    </row>
    <row r="134" spans="4:6" ht="12.75">
      <c r="D134" s="633" t="s">
        <v>405</v>
      </c>
      <c r="E134" s="201">
        <f>GrainStab!O35</f>
        <v>2947</v>
      </c>
      <c r="F134" s="596" t="s">
        <v>411</v>
      </c>
    </row>
    <row r="135" spans="4:6" ht="12.75">
      <c r="D135" s="634" t="s">
        <v>295</v>
      </c>
      <c r="E135" s="201">
        <f>GrainStab!O36</f>
        <v>139420</v>
      </c>
      <c r="F135" s="597" t="s">
        <v>410</v>
      </c>
    </row>
    <row r="136" spans="4:6" ht="12.75">
      <c r="D136" s="634" t="s">
        <v>406</v>
      </c>
      <c r="E136" s="223">
        <f>GrainStab!O37</f>
        <v>47.30912792670512</v>
      </c>
      <c r="F136" s="597" t="s">
        <v>166</v>
      </c>
    </row>
    <row r="137" spans="4:6" ht="12.75">
      <c r="D137" s="634" t="s">
        <v>483</v>
      </c>
      <c r="E137" s="535">
        <f>GrainStab!O38</f>
        <v>4.173785321299496</v>
      </c>
      <c r="F137" s="597" t="s">
        <v>158</v>
      </c>
    </row>
    <row r="138" spans="4:6" ht="12.75">
      <c r="D138" s="634" t="s">
        <v>407</v>
      </c>
      <c r="E138" s="201">
        <f>GrainStab!O39</f>
        <v>659</v>
      </c>
      <c r="F138" s="597" t="s">
        <v>413</v>
      </c>
    </row>
    <row r="139" spans="4:7" ht="12.75">
      <c r="D139" s="634" t="s">
        <v>408</v>
      </c>
      <c r="E139" s="616">
        <f>GrainStab!O40</f>
        <v>491.71694807057804</v>
      </c>
      <c r="F139" s="597" t="s">
        <v>412</v>
      </c>
      <c r="G139" s="761" t="str">
        <f>IF(E139&lt;E140,"satisfactory","recalculate!")</f>
        <v>satisfactory</v>
      </c>
    </row>
    <row r="140" spans="4:6" ht="12.75">
      <c r="D140" s="634" t="s">
        <v>409</v>
      </c>
      <c r="E140" s="616">
        <f>GrainStab!O41</f>
        <v>1138.914214296041</v>
      </c>
      <c r="F140" s="597" t="s">
        <v>412</v>
      </c>
    </row>
    <row r="141" spans="4:7" ht="12.75">
      <c r="D141" s="634" t="s">
        <v>487</v>
      </c>
      <c r="E141" s="482">
        <f>GrainStab!S34</f>
        <v>0.5061073393502498</v>
      </c>
      <c r="G141" s="766" t="str">
        <f>IF(E141&gt;0.2,"satisfactory","LESS THAN 0.2 !!!")</f>
        <v>satisfactory</v>
      </c>
    </row>
    <row r="142" spans="4:7" ht="12.75">
      <c r="D142" s="634" t="s">
        <v>447</v>
      </c>
      <c r="E142" s="535">
        <f>D66</f>
        <v>1.2837693845828562</v>
      </c>
      <c r="F142" s="597" t="s">
        <v>158</v>
      </c>
      <c r="G142" s="738"/>
    </row>
    <row r="144" spans="4:5" ht="12.75">
      <c r="D144" s="770" t="s">
        <v>157</v>
      </c>
      <c r="E144" s="771">
        <f>D86</f>
        <v>5.576080022757147</v>
      </c>
    </row>
    <row r="145" spans="2:8" ht="12.75">
      <c r="B145" s="775" t="s">
        <v>493</v>
      </c>
      <c r="C145" s="881">
        <f>D83</f>
        <v>1.01</v>
      </c>
      <c r="D145" s="770" t="s">
        <v>333</v>
      </c>
      <c r="E145" s="771">
        <f>D87</f>
        <v>5.566736167734427</v>
      </c>
      <c r="G145" s="770" t="s">
        <v>491</v>
      </c>
      <c r="H145" s="773">
        <f>D89</f>
        <v>-0.01780116172649012</v>
      </c>
    </row>
    <row r="146" spans="4:5" ht="12.75">
      <c r="D146" s="770" t="s">
        <v>74</v>
      </c>
      <c r="E146" s="771">
        <f>D88</f>
        <v>5.558285079364617</v>
      </c>
    </row>
    <row r="149" ht="12.75"/>
    <row r="150" ht="12.75"/>
    <row r="151" ht="12.75"/>
    <row r="152" ht="12.75"/>
    <row r="153" ht="12.75"/>
    <row r="154" ht="12.75"/>
    <row r="155" ht="12.75"/>
    <row r="158" spans="2:3" ht="12.75">
      <c r="B158" s="444" t="s">
        <v>474</v>
      </c>
      <c r="C158" s="748">
        <v>5.61</v>
      </c>
    </row>
    <row r="160" spans="2:3" ht="12.75">
      <c r="B160" s="750" t="s">
        <v>475</v>
      </c>
      <c r="C160" s="453">
        <f>VLOOKUP(C158,database!B2:D119,3,TRUE)</f>
        <v>2726</v>
      </c>
    </row>
    <row r="161" spans="2:5" ht="12.75">
      <c r="B161" s="196" t="s">
        <v>476</v>
      </c>
      <c r="C161" s="110">
        <f>E23+E29+E32</f>
        <v>49.032999999999994</v>
      </c>
      <c r="D161" s="444" t="s">
        <v>480</v>
      </c>
      <c r="E161" s="742">
        <v>1</v>
      </c>
    </row>
    <row r="162" spans="2:3" ht="12.75">
      <c r="B162" s="196" t="s">
        <v>477</v>
      </c>
      <c r="C162" s="110">
        <f>E20</f>
        <v>52.809999999999995</v>
      </c>
    </row>
    <row r="163" spans="2:5" ht="12.75">
      <c r="B163" s="196" t="s">
        <v>365</v>
      </c>
      <c r="C163" s="747">
        <v>65</v>
      </c>
      <c r="D163" s="444" t="s">
        <v>481</v>
      </c>
      <c r="E163" s="753">
        <v>1.01</v>
      </c>
    </row>
    <row r="164" spans="4:5" ht="12.75">
      <c r="D164" s="196"/>
      <c r="E164" s="181"/>
    </row>
    <row r="165" spans="2:7" ht="12.75">
      <c r="B165" s="444" t="s">
        <v>478</v>
      </c>
      <c r="C165" s="749">
        <f>C160-C161-C162-C163-936</f>
        <v>1623.1570000000002</v>
      </c>
      <c r="D165" s="444" t="s">
        <v>482</v>
      </c>
      <c r="E165" s="742">
        <f>C158+(E161-E163)*0.122/0.025</f>
        <v>5.5612</v>
      </c>
      <c r="G165" s="752"/>
    </row>
    <row r="167" ht="12.75">
      <c r="G167" s="752"/>
    </row>
    <row r="168" ht="12.75">
      <c r="C168" s="751" t="s">
        <v>479</v>
      </c>
    </row>
  </sheetData>
  <mergeCells count="2">
    <mergeCell ref="E54:AG54"/>
    <mergeCell ref="G34:G35"/>
  </mergeCells>
  <conditionalFormatting sqref="E54:AG54">
    <cfRule type="cellIs" priority="1" dxfId="0" operator="notEqual" stopIfTrue="1">
      <formula>"Summer draft (fw) not exeeded"</formula>
    </cfRule>
  </conditionalFormatting>
  <conditionalFormatting sqref="G139">
    <cfRule type="cellIs" priority="2" dxfId="1" operator="equal" stopIfTrue="1">
      <formula>"satisfactory"</formula>
    </cfRule>
  </conditionalFormatting>
  <conditionalFormatting sqref="E139">
    <cfRule type="cellIs" priority="3" dxfId="0" operator="greaterThanOrEqual" stopIfTrue="1">
      <formula>$E$140</formula>
    </cfRule>
  </conditionalFormatting>
  <conditionalFormatting sqref="G141">
    <cfRule type="cellIs" priority="4" dxfId="0" operator="equal" stopIfTrue="1">
      <formula>"LESS THAN 0.2 !!!"</formula>
    </cfRule>
  </conditionalFormatting>
  <conditionalFormatting sqref="D31">
    <cfRule type="cellIs" priority="5" dxfId="2" operator="greaterThan" stopIfTrue="1">
      <formula>1.5</formula>
    </cfRule>
  </conditionalFormatting>
  <hyperlinks>
    <hyperlink ref="C168" location="A6" display="A6"/>
  </hyperlinks>
  <printOptions/>
  <pageMargins left="0.75" right="0.75" top="1" bottom="1" header="0.5" footer="0.5"/>
  <pageSetup horizontalDpi="360" verticalDpi="360" orientation="portrait" paperSize="9" r:id="rId8"/>
  <drawing r:id="rId7"/>
  <legacyDrawing r:id="rId6"/>
  <oleObjects>
    <oleObject progId="MS_ClipArt_Gallery" shapeId="17061002" r:id="rId1"/>
    <oleObject progId="MS_ClipArt_Gallery" shapeId="20461428" r:id="rId2"/>
    <oleObject progId="MS_ClipArt_Gallery" shapeId="2065428" r:id="rId3"/>
    <oleObject progId="MS_ClipArt_Gallery" shapeId="19604037" r:id="rId4"/>
    <oleObject progId="MS_ClipArt_Gallery" shapeId="21546689" r:id="rId5"/>
  </oleObjects>
</worksheet>
</file>

<file path=xl/worksheets/sheet10.xml><?xml version="1.0" encoding="utf-8"?>
<worksheet xmlns="http://schemas.openxmlformats.org/spreadsheetml/2006/main" xmlns:r="http://schemas.openxmlformats.org/officeDocument/2006/relationships">
  <sheetPr codeName="Sheet9"/>
  <dimension ref="A1:I60"/>
  <sheetViews>
    <sheetView showGridLines="0" zoomScaleSheetLayoutView="100" workbookViewId="0" topLeftCell="A2">
      <selection activeCell="B1" sqref="B1:D1"/>
    </sheetView>
  </sheetViews>
  <sheetFormatPr defaultColWidth="9.140625" defaultRowHeight="12.75"/>
  <cols>
    <col min="1" max="1" width="8.421875" style="0" customWidth="1"/>
    <col min="2" max="2" width="1.28515625" style="0" customWidth="1"/>
    <col min="3" max="3" width="3.00390625" style="0" customWidth="1"/>
    <col min="4" max="4" width="23.8515625" style="0" customWidth="1"/>
    <col min="5" max="5" width="11.00390625" style="0" customWidth="1"/>
    <col min="6" max="6" width="6.00390625" style="0" customWidth="1"/>
    <col min="7" max="7" width="12.00390625" style="0" customWidth="1"/>
    <col min="8" max="8" width="11.140625" style="0" customWidth="1"/>
    <col min="9" max="9" width="13.8515625" style="0" customWidth="1"/>
    <col min="10" max="10" width="9.421875" style="0" customWidth="1"/>
    <col min="11" max="11" width="8.57421875" style="0" customWidth="1"/>
    <col min="12" max="12" width="7.8515625" style="0" customWidth="1"/>
    <col min="13" max="13" width="8.140625" style="0" customWidth="1"/>
    <col min="14" max="14" width="7.8515625" style="0" customWidth="1"/>
    <col min="15" max="16" width="8.28125" style="0" customWidth="1"/>
    <col min="17" max="17" width="8.00390625" style="0" customWidth="1"/>
  </cols>
  <sheetData>
    <row r="1" spans="1:9" ht="15.75" customHeight="1">
      <c r="A1" s="161" t="s">
        <v>239</v>
      </c>
      <c r="B1" s="952"/>
      <c r="C1" s="953"/>
      <c r="D1" s="953"/>
      <c r="E1" s="162"/>
      <c r="F1" s="162"/>
      <c r="G1" s="162"/>
      <c r="H1" s="161" t="s">
        <v>240</v>
      </c>
      <c r="I1" s="163"/>
    </row>
    <row r="2" ht="25.5" customHeight="1">
      <c r="B2" s="164" t="s">
        <v>241</v>
      </c>
    </row>
    <row r="3" ht="29.25" customHeight="1">
      <c r="D3" s="165"/>
    </row>
    <row r="4" spans="4:7" ht="18" customHeight="1">
      <c r="D4" s="166" t="s">
        <v>242</v>
      </c>
      <c r="E4" s="167"/>
      <c r="F4" s="71"/>
      <c r="G4" s="168"/>
    </row>
    <row r="5" spans="4:7" ht="17.25" customHeight="1">
      <c r="D5" s="166" t="s">
        <v>243</v>
      </c>
      <c r="E5" s="167"/>
      <c r="F5" s="71"/>
      <c r="G5" s="168"/>
    </row>
    <row r="6" ht="18" customHeight="1"/>
    <row r="7" spans="4:7" ht="12.75" customHeight="1">
      <c r="D7" s="594" t="s">
        <v>495</v>
      </c>
      <c r="E7" s="80">
        <f>'Ballast &amp; Consumb'!E29</f>
        <v>35.529999999999994</v>
      </c>
      <c r="G7" s="779">
        <f>E7</f>
        <v>35.529999999999994</v>
      </c>
    </row>
    <row r="8" spans="4:7" ht="12" customHeight="1">
      <c r="D8" s="594" t="s">
        <v>496</v>
      </c>
      <c r="E8" s="80">
        <f>'Ballast &amp; Consumb'!E32</f>
        <v>1.5030000000000001</v>
      </c>
      <c r="G8" s="779">
        <f>E8</f>
        <v>1.5030000000000001</v>
      </c>
    </row>
    <row r="9" spans="4:7" ht="12.75" customHeight="1">
      <c r="D9" s="594" t="s">
        <v>233</v>
      </c>
      <c r="E9" s="80"/>
      <c r="G9" s="779">
        <f>'Ballast &amp; Consumb'!E23</f>
        <v>12</v>
      </c>
    </row>
    <row r="10" spans="4:7" ht="12.75" customHeight="1">
      <c r="D10" s="594" t="s">
        <v>497</v>
      </c>
      <c r="E10" s="80"/>
      <c r="G10" s="779">
        <f>'Ballast &amp; Consumb'!E20</f>
        <v>52.809999999999995</v>
      </c>
    </row>
    <row r="11" spans="1:9" ht="17.25" customHeight="1">
      <c r="A11" s="87"/>
      <c r="B11" s="87"/>
      <c r="C11" s="87"/>
      <c r="D11" s="87"/>
      <c r="E11" s="181" t="s">
        <v>345</v>
      </c>
      <c r="F11" s="181"/>
      <c r="G11" s="181" t="s">
        <v>221</v>
      </c>
      <c r="H11" s="87"/>
      <c r="I11" s="87"/>
    </row>
    <row r="12" spans="1:9" ht="17.25" customHeight="1">
      <c r="A12" s="87"/>
      <c r="B12" s="87"/>
      <c r="C12" s="87">
        <v>1</v>
      </c>
      <c r="D12" s="169" t="s">
        <v>244</v>
      </c>
      <c r="E12" s="170">
        <f>wk2!C14</f>
        <v>1.9</v>
      </c>
      <c r="F12" s="171"/>
      <c r="G12" s="170">
        <f>wk2!H14</f>
        <v>5.41</v>
      </c>
      <c r="H12" s="87"/>
      <c r="I12" s="87"/>
    </row>
    <row r="13" spans="1:9" ht="17.25" customHeight="1">
      <c r="A13" s="87"/>
      <c r="B13" s="87"/>
      <c r="C13" s="87">
        <v>2</v>
      </c>
      <c r="D13" s="169" t="s">
        <v>245</v>
      </c>
      <c r="E13" s="170">
        <f>wk2!D14</f>
        <v>1.9</v>
      </c>
      <c r="F13" s="171"/>
      <c r="G13" s="170">
        <f>wk2!I14</f>
        <v>5.41</v>
      </c>
      <c r="H13" s="87"/>
      <c r="I13" s="87"/>
    </row>
    <row r="14" spans="1:9" ht="13.5" customHeight="1">
      <c r="A14" s="87"/>
      <c r="B14" s="87"/>
      <c r="C14" s="87">
        <v>3</v>
      </c>
      <c r="D14" s="169" t="s">
        <v>246</v>
      </c>
      <c r="E14" s="170">
        <f>(E12+E13)/2</f>
        <v>1.9</v>
      </c>
      <c r="F14" s="171"/>
      <c r="G14" s="170">
        <f>G12/2+G13/2</f>
        <v>5.41</v>
      </c>
      <c r="H14" s="87"/>
      <c r="I14" s="87"/>
    </row>
    <row r="15" spans="1:9" ht="13.5" customHeight="1">
      <c r="A15" s="87"/>
      <c r="B15" s="87"/>
      <c r="C15" s="87">
        <v>4</v>
      </c>
      <c r="D15" s="169" t="s">
        <v>247</v>
      </c>
      <c r="E15" s="172">
        <f>(E19-E14)*wk2!C7/wk2!C9</f>
        <v>0.00846262341325811</v>
      </c>
      <c r="F15" s="171"/>
      <c r="G15" s="172">
        <f>(G19-G14)*wk2!$C$7/wk2!$C$9</f>
        <v>0.002538787023977429</v>
      </c>
      <c r="H15" s="87"/>
      <c r="I15" s="87"/>
    </row>
    <row r="16" spans="1:9" ht="13.5" customHeight="1">
      <c r="A16" s="87"/>
      <c r="B16" s="87"/>
      <c r="C16" s="87">
        <v>5</v>
      </c>
      <c r="D16" s="169" t="s">
        <v>248</v>
      </c>
      <c r="E16" s="173">
        <f>E14-E15</f>
        <v>1.8915373765867418</v>
      </c>
      <c r="F16" s="171"/>
      <c r="G16" s="174">
        <f>G14-G15</f>
        <v>5.407461212976023</v>
      </c>
      <c r="H16" s="87"/>
      <c r="I16" s="87"/>
    </row>
    <row r="17" spans="1:9" ht="13.5" customHeight="1">
      <c r="A17" s="87"/>
      <c r="B17" s="87"/>
      <c r="C17" s="87">
        <v>6</v>
      </c>
      <c r="D17" s="169" t="s">
        <v>249</v>
      </c>
      <c r="E17" s="175">
        <f>wk2!C16</f>
        <v>3.1</v>
      </c>
      <c r="F17" s="171"/>
      <c r="G17" s="176">
        <f>wk2!H16</f>
        <v>5.77</v>
      </c>
      <c r="H17" s="87"/>
      <c r="I17" s="87"/>
    </row>
    <row r="18" spans="1:9" ht="13.5" customHeight="1">
      <c r="A18" s="87"/>
      <c r="B18" s="87"/>
      <c r="C18" s="87">
        <v>7</v>
      </c>
      <c r="D18" s="169" t="s">
        <v>250</v>
      </c>
      <c r="E18" s="175">
        <f>wk2!D16</f>
        <v>3.1</v>
      </c>
      <c r="F18" s="171"/>
      <c r="G18" s="176">
        <f>wk2!I16</f>
        <v>5.77</v>
      </c>
      <c r="H18" s="87"/>
      <c r="I18" s="87"/>
    </row>
    <row r="19" spans="1:9" ht="13.5" customHeight="1">
      <c r="A19" s="87"/>
      <c r="B19" s="87"/>
      <c r="C19" s="87">
        <v>8</v>
      </c>
      <c r="D19" s="169" t="s">
        <v>251</v>
      </c>
      <c r="E19" s="170">
        <f>(E17+E18)/2</f>
        <v>3.1</v>
      </c>
      <c r="F19" s="171"/>
      <c r="G19" s="170">
        <f>G17/2+G18/2</f>
        <v>5.77</v>
      </c>
      <c r="H19" s="87"/>
      <c r="I19" s="87"/>
    </row>
    <row r="20" spans="1:9" ht="13.5" customHeight="1">
      <c r="A20" s="87"/>
      <c r="B20" s="87"/>
      <c r="C20" s="87">
        <v>9</v>
      </c>
      <c r="D20" s="169" t="s">
        <v>252</v>
      </c>
      <c r="E20" s="177">
        <f>(E19-E14)*wk2!C8/wk2!C9</f>
        <v>0.04400564174894218</v>
      </c>
      <c r="F20" s="171"/>
      <c r="G20" s="177">
        <f>(G19-G14)*wk2!$C$8/wk2!$C$9</f>
        <v>0.01320169252468263</v>
      </c>
      <c r="H20" s="87"/>
      <c r="I20" s="87"/>
    </row>
    <row r="21" spans="1:9" ht="13.5" customHeight="1">
      <c r="A21" s="87"/>
      <c r="B21" s="87"/>
      <c r="C21" s="87">
        <v>10</v>
      </c>
      <c r="D21" s="169" t="s">
        <v>253</v>
      </c>
      <c r="E21" s="173">
        <f>E19+E20</f>
        <v>3.1440056417489424</v>
      </c>
      <c r="F21" s="171"/>
      <c r="G21" s="173">
        <f>G19+G20</f>
        <v>5.783201692524682</v>
      </c>
      <c r="H21" s="87"/>
      <c r="I21" s="87"/>
    </row>
    <row r="22" spans="1:9" ht="13.5" customHeight="1">
      <c r="A22" s="87"/>
      <c r="B22" s="87"/>
      <c r="C22" s="87">
        <v>11</v>
      </c>
      <c r="D22" s="169" t="s">
        <v>254</v>
      </c>
      <c r="E22" s="173">
        <f>E16/2+E21/2</f>
        <v>2.517771509167842</v>
      </c>
      <c r="F22" s="171"/>
      <c r="G22" s="173">
        <f>G16/2+G21/2</f>
        <v>5.595331452750353</v>
      </c>
      <c r="H22" s="87"/>
      <c r="I22" s="87"/>
    </row>
    <row r="23" spans="1:9" ht="13.5" customHeight="1">
      <c r="A23" s="87"/>
      <c r="B23" s="87"/>
      <c r="C23" s="87">
        <v>12</v>
      </c>
      <c r="D23" s="169" t="s">
        <v>255</v>
      </c>
      <c r="E23" s="173">
        <f>wk2!C15</f>
        <v>2.5</v>
      </c>
      <c r="F23" s="171"/>
      <c r="G23" s="174">
        <f>wk2!H15</f>
        <v>5.591</v>
      </c>
      <c r="H23" s="87"/>
      <c r="I23" s="87"/>
    </row>
    <row r="24" spans="1:9" ht="13.5" customHeight="1">
      <c r="A24" s="87"/>
      <c r="B24" s="87"/>
      <c r="C24" s="87">
        <v>13</v>
      </c>
      <c r="D24" s="169" t="s">
        <v>256</v>
      </c>
      <c r="E24" s="173">
        <f>wk2!D15</f>
        <v>2.5</v>
      </c>
      <c r="F24" s="171"/>
      <c r="G24" s="174">
        <f>wk2!I15</f>
        <v>5.591</v>
      </c>
      <c r="H24" s="87"/>
      <c r="I24" s="87"/>
    </row>
    <row r="25" spans="1:9" ht="13.5" customHeight="1">
      <c r="A25" s="87"/>
      <c r="B25" s="87"/>
      <c r="C25" s="87">
        <v>14</v>
      </c>
      <c r="D25" s="169" t="s">
        <v>257</v>
      </c>
      <c r="E25" s="802">
        <f>(E23+E24)/2</f>
        <v>2.5</v>
      </c>
      <c r="F25" s="171"/>
      <c r="G25" s="802">
        <f>(G23+G24)/2</f>
        <v>5.591</v>
      </c>
      <c r="H25" s="87"/>
      <c r="I25" s="87"/>
    </row>
    <row r="26" spans="1:9" ht="13.5" customHeight="1">
      <c r="A26" s="87"/>
      <c r="B26" s="87"/>
      <c r="C26" s="87">
        <v>15</v>
      </c>
      <c r="D26" s="178" t="s">
        <v>258</v>
      </c>
      <c r="E26" s="179">
        <f>((E16/2+E21/2)+E25)/2</f>
        <v>2.508885754583921</v>
      </c>
      <c r="F26" s="87"/>
      <c r="G26" s="179">
        <f>((G16/2+G21/2)+G25)/2</f>
        <v>5.593165726375176</v>
      </c>
      <c r="H26" s="87"/>
      <c r="I26" s="87"/>
    </row>
    <row r="27" spans="1:9" ht="13.5" customHeight="1">
      <c r="A27" s="87"/>
      <c r="B27" s="87"/>
      <c r="C27" s="87">
        <v>16</v>
      </c>
      <c r="D27" s="169" t="s">
        <v>259</v>
      </c>
      <c r="E27" s="173">
        <f>E26/2+E25/2</f>
        <v>2.5044428772919605</v>
      </c>
      <c r="F27" s="171"/>
      <c r="G27" s="173">
        <f>G26/2+G25/2</f>
        <v>5.5920828631875885</v>
      </c>
      <c r="H27" s="87"/>
      <c r="I27" s="87"/>
    </row>
    <row r="28" spans="1:9" ht="13.5" customHeight="1">
      <c r="A28" s="87"/>
      <c r="B28" s="87"/>
      <c r="C28" s="87"/>
      <c r="D28" s="180"/>
      <c r="E28" s="181"/>
      <c r="F28" s="87"/>
      <c r="G28" s="181"/>
      <c r="H28" s="87"/>
      <c r="I28" s="87"/>
    </row>
    <row r="29" spans="1:9" ht="13.5" customHeight="1">
      <c r="A29" s="87"/>
      <c r="B29" s="87"/>
      <c r="C29" s="180">
        <v>17</v>
      </c>
      <c r="D29" s="169" t="s">
        <v>260</v>
      </c>
      <c r="E29" s="182">
        <f>wk2!C60</f>
        <v>1717.3321579689703</v>
      </c>
      <c r="F29" s="171"/>
      <c r="G29" s="182">
        <f>wk2!H60</f>
        <v>4157.270433709444</v>
      </c>
      <c r="H29" s="87"/>
      <c r="I29" s="87"/>
    </row>
    <row r="30" spans="1:9" ht="13.5" customHeight="1">
      <c r="A30" s="87"/>
      <c r="B30" s="87"/>
      <c r="C30" s="180">
        <v>18</v>
      </c>
      <c r="D30" s="169" t="s">
        <v>261</v>
      </c>
      <c r="E30" s="174">
        <f>E21-E16</f>
        <v>1.2524682651622006</v>
      </c>
      <c r="F30" s="171"/>
      <c r="G30" s="174">
        <f>G21-G16</f>
        <v>0.37574047954865897</v>
      </c>
      <c r="H30" s="87"/>
      <c r="I30" s="87"/>
    </row>
    <row r="31" spans="1:9" ht="13.5" customHeight="1">
      <c r="A31" s="87"/>
      <c r="B31" s="87"/>
      <c r="C31" s="180">
        <v>19</v>
      </c>
      <c r="D31" s="178" t="s">
        <v>262</v>
      </c>
      <c r="E31" s="183">
        <f>E30*wk2!$C$61*wk2!$C$62*100/wk2!$C$6</f>
        <v>-0.4787113895293435</v>
      </c>
      <c r="F31" s="87"/>
      <c r="G31" s="183">
        <f>G30*wk2!$H$61*wk2!$H$62*100/wk2!$C$6</f>
        <v>-8.013167078624376</v>
      </c>
      <c r="H31" s="87"/>
      <c r="I31" s="87"/>
    </row>
    <row r="32" spans="1:9" ht="13.5" customHeight="1">
      <c r="A32" s="87"/>
      <c r="B32" s="87"/>
      <c r="C32" s="180">
        <v>20</v>
      </c>
      <c r="D32" s="178" t="s">
        <v>263</v>
      </c>
      <c r="E32" s="184">
        <f>IF(E30&gt;wk2!C6/100,E30*E30*50*wk2!C71/wk2!C6,0)</f>
        <v>2.8617751615835894</v>
      </c>
      <c r="F32" s="87"/>
      <c r="G32" s="184">
        <f>IF(G30&gt;wk2!C6/100,G30*G30*50*wk2!H71/wk2!C6,0)</f>
        <v>0</v>
      </c>
      <c r="H32" s="87"/>
      <c r="I32" s="87"/>
    </row>
    <row r="33" spans="1:9" ht="13.5" customHeight="1">
      <c r="A33" s="87"/>
      <c r="B33" s="87"/>
      <c r="C33" s="180">
        <v>21</v>
      </c>
      <c r="D33" s="178" t="s">
        <v>264</v>
      </c>
      <c r="E33" s="185">
        <f>IF(E30&gt;0,E29-E31+E32,E29+E31+E32)</f>
        <v>1720.6726445200832</v>
      </c>
      <c r="F33" s="87"/>
      <c r="G33" s="185">
        <f>IF(G30&gt;0,G29-G31+G32,G29+G31+G32)</f>
        <v>4165.283600788068</v>
      </c>
      <c r="H33" s="87"/>
      <c r="I33" s="87"/>
    </row>
    <row r="34" spans="1:9" ht="13.5" customHeight="1">
      <c r="A34" s="87"/>
      <c r="B34" s="87"/>
      <c r="C34" s="180">
        <v>22</v>
      </c>
      <c r="D34" s="178" t="s">
        <v>265</v>
      </c>
      <c r="E34" s="184">
        <f>wk2!C19</f>
        <v>1</v>
      </c>
      <c r="F34" s="87"/>
      <c r="G34" s="184">
        <f>wk2!H19</f>
        <v>1</v>
      </c>
      <c r="H34" s="87"/>
      <c r="I34" s="87"/>
    </row>
    <row r="35" spans="1:9" ht="13.5" customHeight="1">
      <c r="A35" s="87"/>
      <c r="B35" s="87"/>
      <c r="C35" s="180">
        <v>23</v>
      </c>
      <c r="D35" s="178" t="s">
        <v>266</v>
      </c>
      <c r="E35" s="183">
        <f>(1.025-E34)*E33/1.025</f>
        <v>41.96762547609944</v>
      </c>
      <c r="F35" s="87"/>
      <c r="G35" s="183">
        <f>(1.025-G34)*G33/1.025</f>
        <v>101.59228294605008</v>
      </c>
      <c r="H35" s="87"/>
      <c r="I35" s="87"/>
    </row>
    <row r="36" spans="1:9" ht="13.5" customHeight="1">
      <c r="A36" s="87"/>
      <c r="B36" s="87"/>
      <c r="C36" s="180">
        <v>24</v>
      </c>
      <c r="D36" s="178" t="s">
        <v>267</v>
      </c>
      <c r="E36" s="186">
        <f>E33-E35</f>
        <v>1678.7050190439836</v>
      </c>
      <c r="F36" s="87"/>
      <c r="G36" s="186">
        <f>G33-G35</f>
        <v>4063.6913178420177</v>
      </c>
      <c r="H36" s="87"/>
      <c r="I36" s="87"/>
    </row>
    <row r="37" spans="1:9" ht="13.5" customHeight="1">
      <c r="A37" s="87"/>
      <c r="B37" s="87"/>
      <c r="C37" s="180">
        <v>25</v>
      </c>
      <c r="D37" s="178" t="s">
        <v>268</v>
      </c>
      <c r="E37" s="110">
        <f>wk2!C55</f>
        <v>682.15</v>
      </c>
      <c r="F37" s="87"/>
      <c r="G37" s="185">
        <f>wk2!H55</f>
        <v>101.6864</v>
      </c>
      <c r="H37" s="87"/>
      <c r="I37" s="87"/>
    </row>
    <row r="38" spans="1:9" ht="13.5" customHeight="1">
      <c r="A38" s="87"/>
      <c r="B38" s="87"/>
      <c r="C38" s="180">
        <v>26</v>
      </c>
      <c r="D38" s="178" t="s">
        <v>269</v>
      </c>
      <c r="E38" s="183">
        <f>E36-E37</f>
        <v>996.5550190439836</v>
      </c>
      <c r="F38" s="87"/>
      <c r="G38" s="183">
        <f>G36-G37</f>
        <v>3962.0049178420177</v>
      </c>
      <c r="H38" s="87"/>
      <c r="I38" s="87"/>
    </row>
    <row r="39" spans="1:9" ht="13.5" customHeight="1">
      <c r="A39" s="87"/>
      <c r="B39" s="87"/>
      <c r="C39" s="180">
        <v>27</v>
      </c>
      <c r="D39" s="178" t="s">
        <v>270</v>
      </c>
      <c r="E39" s="183">
        <v>936</v>
      </c>
      <c r="F39" s="87"/>
      <c r="G39" s="183">
        <v>936</v>
      </c>
      <c r="H39" s="87"/>
      <c r="I39" s="87"/>
    </row>
    <row r="40" spans="1:9" ht="13.5" customHeight="1">
      <c r="A40" s="87"/>
      <c r="B40" s="87"/>
      <c r="C40" s="180">
        <v>28</v>
      </c>
      <c r="D40" s="187" t="s">
        <v>271</v>
      </c>
      <c r="E40" s="183">
        <f>IF(E41&lt;200,E41,G41)</f>
        <v>60.555019043983634</v>
      </c>
      <c r="F40" s="87"/>
      <c r="G40" s="183">
        <f>ctrl!D27</f>
        <v>75</v>
      </c>
      <c r="H40" s="87"/>
      <c r="I40" s="87"/>
    </row>
    <row r="41" spans="1:9" ht="12.75">
      <c r="A41" s="87"/>
      <c r="B41" s="87"/>
      <c r="C41" s="180">
        <v>29</v>
      </c>
      <c r="D41" s="188" t="s">
        <v>272</v>
      </c>
      <c r="E41" s="183">
        <f>E38-E39</f>
        <v>60.555019043983634</v>
      </c>
      <c r="F41" s="87"/>
      <c r="G41" s="185">
        <f>G38-G39-G40</f>
        <v>2951.0049178420177</v>
      </c>
      <c r="H41" s="87"/>
      <c r="I41" s="87"/>
    </row>
    <row r="42" spans="1:9" ht="12.75" customHeight="1">
      <c r="A42" s="87"/>
      <c r="B42" s="87"/>
      <c r="C42" s="87"/>
      <c r="D42" s="180"/>
      <c r="E42" s="87"/>
      <c r="F42" s="87"/>
      <c r="G42" s="87"/>
      <c r="H42" s="87"/>
      <c r="I42" s="87"/>
    </row>
    <row r="43" spans="1:9" ht="12.75" customHeight="1">
      <c r="A43" s="87"/>
      <c r="B43" s="87"/>
      <c r="C43" s="87"/>
      <c r="D43" s="87"/>
      <c r="E43" s="189"/>
      <c r="F43" s="87"/>
      <c r="G43" s="87"/>
      <c r="H43" s="87"/>
      <c r="I43" s="87"/>
    </row>
    <row r="44" spans="1:9" ht="12.75" customHeight="1">
      <c r="A44" s="87"/>
      <c r="B44" s="87"/>
      <c r="C44" s="87"/>
      <c r="D44" s="87"/>
      <c r="E44" s="87" t="s">
        <v>273</v>
      </c>
      <c r="F44" s="87"/>
      <c r="G44" s="192">
        <f>G41</f>
        <v>2951.0049178420177</v>
      </c>
      <c r="H44" s="87" t="s">
        <v>349</v>
      </c>
      <c r="I44" s="87"/>
    </row>
    <row r="45" spans="1:9" ht="12.75" customHeight="1">
      <c r="A45" s="87"/>
      <c r="B45" s="87"/>
      <c r="C45" s="87"/>
      <c r="D45" s="87"/>
      <c r="E45" s="87"/>
      <c r="F45" s="87"/>
      <c r="G45" s="87"/>
      <c r="H45" s="87"/>
      <c r="I45" s="87"/>
    </row>
    <row r="46" spans="1:9" ht="12.75" customHeight="1">
      <c r="A46" s="87"/>
      <c r="B46" s="87"/>
      <c r="C46" s="87"/>
      <c r="D46" s="190">
        <f>IF(H46=0,,"TOTAL CARGO OF")</f>
        <v>0</v>
      </c>
      <c r="E46" s="951"/>
      <c r="F46" s="951"/>
      <c r="G46" s="191"/>
      <c r="H46" s="192"/>
      <c r="I46" s="87"/>
    </row>
    <row r="47" spans="1:9" ht="12" customHeight="1">
      <c r="A47" s="87"/>
      <c r="B47" s="87"/>
      <c r="C47" s="87"/>
      <c r="D47" s="190">
        <f>IF(H47=0,,"TOTAL CARGO OF")</f>
        <v>0</v>
      </c>
      <c r="E47" s="951"/>
      <c r="F47" s="951"/>
      <c r="G47" s="191"/>
      <c r="H47" s="192"/>
      <c r="I47" s="87"/>
    </row>
    <row r="48" spans="1:9" ht="19.5" customHeight="1">
      <c r="A48" s="87"/>
      <c r="B48" s="87"/>
      <c r="C48" s="87"/>
      <c r="D48" s="87"/>
      <c r="E48" s="87"/>
      <c r="F48" s="87"/>
      <c r="G48" s="87"/>
      <c r="H48" s="87"/>
      <c r="I48" s="87"/>
    </row>
    <row r="49" spans="1:9" ht="18.75" customHeight="1">
      <c r="A49" s="87"/>
      <c r="B49" s="87"/>
      <c r="C49" s="193" t="s">
        <v>274</v>
      </c>
      <c r="D49" s="194">
        <f>'Ballast &amp; Consumb'!D72</f>
        <v>36985</v>
      </c>
      <c r="E49" s="87"/>
      <c r="F49" s="87"/>
      <c r="G49" s="87"/>
      <c r="H49" s="87"/>
      <c r="I49" s="87"/>
    </row>
    <row r="50" spans="1:9" ht="19.5" customHeight="1">
      <c r="A50" s="87"/>
      <c r="B50" s="87"/>
      <c r="C50" s="87"/>
      <c r="D50" s="87"/>
      <c r="E50" s="87"/>
      <c r="F50" s="87"/>
      <c r="G50" s="87"/>
      <c r="H50" s="87"/>
      <c r="I50" s="87"/>
    </row>
    <row r="51" spans="1:9" ht="18.75" customHeight="1">
      <c r="A51" s="87"/>
      <c r="B51" s="87"/>
      <c r="C51" s="193" t="s">
        <v>275</v>
      </c>
      <c r="D51" s="195"/>
      <c r="E51" s="87"/>
      <c r="F51" s="196" t="s">
        <v>276</v>
      </c>
      <c r="G51" s="197"/>
      <c r="H51" s="197"/>
      <c r="I51" s="87"/>
    </row>
    <row r="52" spans="1:9" ht="12.75" customHeight="1">
      <c r="A52" s="87"/>
      <c r="B52" s="87"/>
      <c r="C52" s="87"/>
      <c r="D52" s="87"/>
      <c r="E52" s="87"/>
      <c r="F52" s="87"/>
      <c r="G52" s="87"/>
      <c r="H52" s="87"/>
      <c r="I52" s="87"/>
    </row>
    <row r="53" spans="1:9" ht="12.75" customHeight="1">
      <c r="A53" s="87"/>
      <c r="B53" s="87"/>
      <c r="C53" s="87"/>
      <c r="D53" s="87"/>
      <c r="E53" s="87"/>
      <c r="F53" s="87"/>
      <c r="G53" s="87"/>
      <c r="H53" s="87"/>
      <c r="I53" s="87"/>
    </row>
    <row r="54" ht="12.75" customHeight="1"/>
    <row r="55" ht="12.75" customHeight="1">
      <c r="G55" s="198"/>
    </row>
    <row r="56" ht="20.25" customHeight="1"/>
    <row r="60" ht="13.5">
      <c r="F60" s="199"/>
    </row>
  </sheetData>
  <mergeCells count="3">
    <mergeCell ref="E46:F46"/>
    <mergeCell ref="E47:F47"/>
    <mergeCell ref="B1:D1"/>
  </mergeCells>
  <conditionalFormatting sqref="D46:I47 G12:G28 G30:G41 E33">
    <cfRule type="cellIs" priority="1" dxfId="3" operator="equal" stopIfTrue="1">
      <formula>0</formula>
    </cfRule>
  </conditionalFormatting>
  <printOptions/>
  <pageMargins left="0.61" right="0.34" top="0.4724409448818898" bottom="0.5118110236220472" header="0.19" footer="0.5905511811023623"/>
  <pageSetup horizontalDpi="360" verticalDpi="36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21"/>
  <dimension ref="A1:AZ238"/>
  <sheetViews>
    <sheetView workbookViewId="0" topLeftCell="D1">
      <selection activeCell="G11" sqref="G11"/>
    </sheetView>
  </sheetViews>
  <sheetFormatPr defaultColWidth="9.140625" defaultRowHeight="12.75"/>
  <cols>
    <col min="1" max="1" width="4.140625" style="326" customWidth="1"/>
    <col min="2" max="2" width="9.140625" style="327" customWidth="1"/>
    <col min="3" max="4" width="9.421875" style="275" bestFit="1" customWidth="1"/>
    <col min="5" max="5" width="9.28125" style="275" bestFit="1" customWidth="1"/>
    <col min="6" max="7" width="9.28125" style="287" bestFit="1" customWidth="1"/>
    <col min="8" max="9" width="9.28125" style="285" bestFit="1" customWidth="1"/>
    <col min="10" max="10" width="9.28125" style="287" bestFit="1" customWidth="1"/>
    <col min="11" max="11" width="9.140625" style="287" customWidth="1"/>
    <col min="12" max="12" width="9.140625" style="288" customWidth="1"/>
    <col min="13" max="13" width="9.140625" style="287" customWidth="1"/>
    <col min="14" max="14" width="9.140625" style="285" customWidth="1"/>
    <col min="15" max="15" width="9.140625" style="328" customWidth="1"/>
    <col min="16" max="16" width="9.421875" style="275" customWidth="1"/>
    <col min="17" max="17" width="10.8515625" style="304" customWidth="1"/>
    <col min="18" max="19" width="9.140625" style="304" customWidth="1"/>
    <col min="20" max="20" width="9.7109375" style="304" customWidth="1"/>
    <col min="21" max="22" width="9.140625" style="304" customWidth="1"/>
    <col min="23" max="23" width="10.421875" style="304" bestFit="1" customWidth="1"/>
    <col min="24" max="26" width="9.140625" style="304" customWidth="1"/>
    <col min="27" max="27" width="10.421875" style="304" customWidth="1"/>
    <col min="28" max="34" width="9.140625" style="304" customWidth="1"/>
    <col min="35" max="35" width="6.140625" style="304" customWidth="1"/>
    <col min="36" max="36" width="9.140625" style="304" customWidth="1"/>
    <col min="37" max="37" width="9.8515625" style="304" customWidth="1"/>
    <col min="38" max="38" width="10.421875" style="304" customWidth="1"/>
    <col min="39" max="16384" width="9.140625" style="304" customWidth="1"/>
  </cols>
  <sheetData>
    <row r="1" spans="2:15" s="275" customFormat="1" ht="12">
      <c r="B1" s="276">
        <v>1</v>
      </c>
      <c r="C1" s="275">
        <v>2</v>
      </c>
      <c r="D1" s="275">
        <v>3</v>
      </c>
      <c r="E1" s="275">
        <v>4</v>
      </c>
      <c r="F1" s="275">
        <v>5</v>
      </c>
      <c r="G1" s="275">
        <v>6</v>
      </c>
      <c r="H1" s="275">
        <v>7</v>
      </c>
      <c r="I1" s="275">
        <v>8</v>
      </c>
      <c r="J1" s="275">
        <v>9</v>
      </c>
      <c r="K1" s="275">
        <v>10</v>
      </c>
      <c r="L1" s="275">
        <v>11</v>
      </c>
      <c r="M1" s="275">
        <v>12</v>
      </c>
      <c r="N1" s="276"/>
      <c r="O1" s="277"/>
    </row>
    <row r="2" spans="1:38" s="285" customFormat="1" ht="12.75" thickBot="1">
      <c r="A2" s="275"/>
      <c r="B2" s="278" t="s">
        <v>278</v>
      </c>
      <c r="C2" s="279" t="s">
        <v>306</v>
      </c>
      <c r="D2" s="279" t="s">
        <v>307</v>
      </c>
      <c r="E2" s="398" t="s">
        <v>308</v>
      </c>
      <c r="F2" s="280" t="s">
        <v>309</v>
      </c>
      <c r="G2" s="280" t="s">
        <v>310</v>
      </c>
      <c r="H2" s="281" t="s">
        <v>32</v>
      </c>
      <c r="I2" s="281" t="s">
        <v>31</v>
      </c>
      <c r="J2" s="280" t="s">
        <v>311</v>
      </c>
      <c r="K2" s="280" t="s">
        <v>312</v>
      </c>
      <c r="L2" s="282" t="s">
        <v>313</v>
      </c>
      <c r="M2" s="280" t="s">
        <v>314</v>
      </c>
      <c r="N2" s="278" t="s">
        <v>278</v>
      </c>
      <c r="O2" s="283"/>
      <c r="P2" s="284" t="s">
        <v>315</v>
      </c>
      <c r="V2" s="821" t="s">
        <v>545</v>
      </c>
      <c r="Y2" s="286"/>
      <c r="AC2" s="470" t="s">
        <v>334</v>
      </c>
      <c r="AL2" s="510" t="s">
        <v>344</v>
      </c>
    </row>
    <row r="3" spans="1:52" s="275" customFormat="1" ht="13.5" thickBot="1" thickTop="1">
      <c r="A3" s="275">
        <v>1</v>
      </c>
      <c r="B3" s="296">
        <v>1.6</v>
      </c>
      <c r="C3" s="484">
        <v>1063</v>
      </c>
      <c r="D3" s="275">
        <v>1037</v>
      </c>
      <c r="E3" s="275">
        <v>1025</v>
      </c>
      <c r="F3" s="485">
        <v>7.1</v>
      </c>
      <c r="G3" s="287">
        <v>6.9</v>
      </c>
      <c r="H3" s="486">
        <v>0.378</v>
      </c>
      <c r="I3" s="486">
        <v>0.365</v>
      </c>
      <c r="J3" s="487">
        <v>25.7</v>
      </c>
      <c r="K3" s="287">
        <v>25.1</v>
      </c>
      <c r="L3" s="288">
        <v>8.48</v>
      </c>
      <c r="M3" s="287">
        <v>181.7</v>
      </c>
      <c r="N3" s="296">
        <v>1.6</v>
      </c>
      <c r="O3" s="289"/>
      <c r="P3" s="330">
        <f>Initial!C20</f>
        <v>4074.843</v>
      </c>
      <c r="Q3" s="290" t="s">
        <v>306</v>
      </c>
      <c r="R3" s="290" t="s">
        <v>306</v>
      </c>
      <c r="S3" s="354">
        <f>$Q$25</f>
        <v>5.615109411764713</v>
      </c>
      <c r="T3" s="291" t="s">
        <v>278</v>
      </c>
      <c r="U3" s="292" t="s">
        <v>278</v>
      </c>
      <c r="V3" s="293" t="s">
        <v>278</v>
      </c>
      <c r="W3" s="294">
        <f>$T$6</f>
        <v>5.600000000000008</v>
      </c>
      <c r="X3" s="294">
        <f>$U$6</f>
        <v>5.620000000000008</v>
      </c>
      <c r="Y3" s="295">
        <f>IF(X3-W3=0,1,X3-W3)</f>
        <v>0.020000000000000462</v>
      </c>
      <c r="AA3" s="369" t="s">
        <v>308</v>
      </c>
      <c r="AB3" s="355"/>
      <c r="AC3" s="355"/>
      <c r="AD3" s="356"/>
      <c r="AE3" s="462">
        <f>AB13</f>
        <v>5.566736167734427</v>
      </c>
      <c r="AF3" s="463" t="s">
        <v>278</v>
      </c>
      <c r="AG3" s="464" t="s">
        <v>278</v>
      </c>
      <c r="AH3" s="465"/>
      <c r="AJ3" s="495" t="s">
        <v>315</v>
      </c>
      <c r="AK3" s="496"/>
      <c r="AL3" s="496"/>
      <c r="AM3" s="496"/>
      <c r="AN3" s="496"/>
      <c r="AO3" s="496"/>
      <c r="AP3" s="497"/>
      <c r="AQ3" s="496"/>
      <c r="AR3" s="496"/>
      <c r="AS3" s="496"/>
      <c r="AT3" s="496"/>
      <c r="AU3" s="496"/>
      <c r="AV3" s="496"/>
      <c r="AW3" s="496"/>
      <c r="AX3" s="496"/>
      <c r="AY3" s="498"/>
      <c r="AZ3" s="285"/>
    </row>
    <row r="4" spans="1:51" s="275" customFormat="1" ht="12">
      <c r="A4" s="275">
        <v>2</v>
      </c>
      <c r="B4" s="296">
        <v>1.62</v>
      </c>
      <c r="C4" s="484">
        <v>1077</v>
      </c>
      <c r="D4" s="275">
        <v>1051</v>
      </c>
      <c r="E4" s="275">
        <v>1039</v>
      </c>
      <c r="F4" s="485">
        <v>7.1</v>
      </c>
      <c r="G4" s="287">
        <v>6.9</v>
      </c>
      <c r="H4" s="486">
        <v>0.371</v>
      </c>
      <c r="I4" s="486">
        <v>0.363</v>
      </c>
      <c r="J4" s="487">
        <v>25.7</v>
      </c>
      <c r="K4" s="287">
        <v>25.1</v>
      </c>
      <c r="L4" s="288">
        <v>8.4</v>
      </c>
      <c r="M4" s="287">
        <v>179.6</v>
      </c>
      <c r="N4" s="296">
        <v>1.62</v>
      </c>
      <c r="O4" s="297"/>
      <c r="P4" s="298"/>
      <c r="Q4" s="299" t="str">
        <f>CONCATENATE("&lt;","=",P3)</f>
        <v>&lt;=4074,843</v>
      </c>
      <c r="R4" s="300" t="str">
        <f>CONCATENATE("&gt;","=",P3)</f>
        <v>&gt;=4074,843</v>
      </c>
      <c r="S4" s="298"/>
      <c r="T4" s="299" t="str">
        <f>CONCATENATE("&lt;","=",S3)</f>
        <v>&lt;=5,61510941176471</v>
      </c>
      <c r="U4" s="300" t="str">
        <f>CONCATENATE("&gt;","=",S3)</f>
        <v>&gt;=5,61510941176471</v>
      </c>
      <c r="V4" s="301" t="s">
        <v>165</v>
      </c>
      <c r="W4" s="302">
        <f>VLOOKUP(W3,$B$2:$D$240,3,FALSE)</f>
        <v>4062</v>
      </c>
      <c r="X4" s="302">
        <f>VLOOKUP(X3,$B$2:$D$240,3,FALSE)</f>
        <v>4079</v>
      </c>
      <c r="Y4" s="295">
        <f>IF(X4-W4=0,1,X4-W4)</f>
        <v>17</v>
      </c>
      <c r="AA4" s="357">
        <f>Initial!D39</f>
        <v>4011.725742574257</v>
      </c>
      <c r="AB4" s="458" t="s">
        <v>308</v>
      </c>
      <c r="AC4" s="458" t="s">
        <v>308</v>
      </c>
      <c r="AD4" s="358"/>
      <c r="AE4" s="359"/>
      <c r="AF4" s="299" t="str">
        <f>CONCATENATE("&lt;","=",AE3)</f>
        <v>&lt;=5,56673616773443</v>
      </c>
      <c r="AG4" s="300" t="str">
        <f>CONCATENATE("&gt;","=",AE3)</f>
        <v>&gt;=5,56673616773443</v>
      </c>
      <c r="AH4" s="466"/>
      <c r="AJ4" s="513">
        <f>wk2!H58</f>
        <v>5.5920828631875885</v>
      </c>
      <c r="AK4" s="291" t="s">
        <v>278</v>
      </c>
      <c r="AL4" s="292" t="s">
        <v>278</v>
      </c>
      <c r="AM4" s="293" t="s">
        <v>278</v>
      </c>
      <c r="AN4" s="294">
        <f>AK7</f>
        <v>5.580000000000007</v>
      </c>
      <c r="AO4" s="294">
        <f>AL7</f>
        <v>5.600000000000008</v>
      </c>
      <c r="AP4" s="295">
        <f>AO4-AN4</f>
        <v>0.020000000000000462</v>
      </c>
      <c r="AQ4" s="346"/>
      <c r="AR4" s="483">
        <f>wk2!J69</f>
        <v>6.0920828631875885</v>
      </c>
      <c r="AS4" s="291" t="s">
        <v>278</v>
      </c>
      <c r="AT4" s="292" t="s">
        <v>278</v>
      </c>
      <c r="AU4" s="346"/>
      <c r="AV4" s="483">
        <f>wk2!J70</f>
        <v>5.0920828631875885</v>
      </c>
      <c r="AW4" s="291" t="s">
        <v>278</v>
      </c>
      <c r="AX4" s="292" t="s">
        <v>278</v>
      </c>
      <c r="AY4" s="499"/>
    </row>
    <row r="5" spans="1:51" s="275" customFormat="1" ht="12">
      <c r="A5" s="275">
        <v>3</v>
      </c>
      <c r="B5" s="296">
        <v>1.64</v>
      </c>
      <c r="C5" s="484">
        <v>1091</v>
      </c>
      <c r="D5" s="275">
        <v>1065</v>
      </c>
      <c r="E5" s="275">
        <v>1053</v>
      </c>
      <c r="F5" s="485">
        <v>7.1</v>
      </c>
      <c r="G5" s="287">
        <v>6.9</v>
      </c>
      <c r="H5" s="486">
        <v>0.363</v>
      </c>
      <c r="I5" s="486">
        <v>0.36</v>
      </c>
      <c r="J5" s="487">
        <v>25.8</v>
      </c>
      <c r="K5" s="287">
        <v>25.2</v>
      </c>
      <c r="L5" s="288">
        <v>8.32</v>
      </c>
      <c r="M5" s="287">
        <v>177.7</v>
      </c>
      <c r="N5" s="296">
        <v>1.64</v>
      </c>
      <c r="O5" s="297"/>
      <c r="V5" s="301"/>
      <c r="W5" s="303"/>
      <c r="X5" s="303"/>
      <c r="Y5" s="295"/>
      <c r="AA5" s="359"/>
      <c r="AB5" s="299" t="str">
        <f>CONCATENATE("&lt;","=",$AA$4)</f>
        <v>&lt;=4011,72574257426</v>
      </c>
      <c r="AC5" s="397" t="str">
        <f>CONCATENATE("&gt;","=",AA4)</f>
        <v>&gt;=4011,72574257426</v>
      </c>
      <c r="AD5" s="358"/>
      <c r="AE5" s="360"/>
      <c r="AF5" s="346"/>
      <c r="AG5" s="346"/>
      <c r="AH5" s="466"/>
      <c r="AJ5" s="500"/>
      <c r="AK5" s="299" t="str">
        <f>CONCATENATE("&lt;","=",AJ4)</f>
        <v>&lt;=5,59208286318759</v>
      </c>
      <c r="AL5" s="489" t="str">
        <f>CONCATENATE("&gt;","=",AJ4)</f>
        <v>&gt;=5,59208286318759</v>
      </c>
      <c r="AM5" s="301" t="s">
        <v>165</v>
      </c>
      <c r="AN5" s="302">
        <f>VLOOKUP(AN4,$B$2:$D$240,2,FALSE)</f>
        <v>4147</v>
      </c>
      <c r="AO5" s="302">
        <f>VLOOKUP(AO4,$B$2:$D$240,2,FALSE)</f>
        <v>4164</v>
      </c>
      <c r="AP5" s="295">
        <f>AO5-AN5</f>
        <v>17</v>
      </c>
      <c r="AQ5" s="346"/>
      <c r="AR5" s="298"/>
      <c r="AS5" s="299" t="str">
        <f>CONCATENATE("&lt;","=",AR4)</f>
        <v>&lt;=6,09208286318759</v>
      </c>
      <c r="AT5" s="489" t="str">
        <f>CONCATENATE("&gt;","=",AR4)</f>
        <v>&gt;=6,09208286318759</v>
      </c>
      <c r="AU5" s="346"/>
      <c r="AV5" s="298"/>
      <c r="AW5" s="491" t="str">
        <f>CONCATENATE("&lt;","=",AV4)</f>
        <v>&lt;=5,09208286318759</v>
      </c>
      <c r="AX5" s="489" t="str">
        <f>CONCATENATE("&gt;","=",AV4)</f>
        <v>&gt;=5,09208286318759</v>
      </c>
      <c r="AY5" s="499"/>
    </row>
    <row r="6" spans="1:52" ht="12.75" thickBot="1">
      <c r="A6" s="275">
        <v>4</v>
      </c>
      <c r="B6" s="296">
        <v>1.66</v>
      </c>
      <c r="C6" s="484">
        <v>1105</v>
      </c>
      <c r="D6" s="275">
        <v>1078</v>
      </c>
      <c r="E6" s="275">
        <v>1067</v>
      </c>
      <c r="F6" s="485">
        <v>7.1</v>
      </c>
      <c r="G6" s="287">
        <v>6.9</v>
      </c>
      <c r="H6" s="486">
        <v>0.356</v>
      </c>
      <c r="I6" s="486">
        <v>0.358</v>
      </c>
      <c r="J6" s="487">
        <v>25.8</v>
      </c>
      <c r="K6" s="287">
        <v>25.2</v>
      </c>
      <c r="L6" s="288">
        <v>8.25</v>
      </c>
      <c r="M6" s="287">
        <v>175.8</v>
      </c>
      <c r="N6" s="296">
        <v>1.66</v>
      </c>
      <c r="O6" s="297"/>
      <c r="P6" s="304"/>
      <c r="Q6" s="305">
        <f>DMAX($B$2:$N$240,C2,Q3:Q4)</f>
        <v>4062</v>
      </c>
      <c r="R6" s="305">
        <f>DMIN($B$2:$N$240,C2,R3:R4)</f>
        <v>4079</v>
      </c>
      <c r="T6" s="306">
        <f>DMAX($B$2:$N$240,"Draft",T3:T4)</f>
        <v>5.600000000000008</v>
      </c>
      <c r="U6" s="307">
        <f>DMIN($B$2:$N$240,B2,U3:U4)</f>
        <v>5.620000000000008</v>
      </c>
      <c r="V6" s="308"/>
      <c r="W6" s="309">
        <f>$S$3</f>
        <v>5.615109411764713</v>
      </c>
      <c r="X6" s="303">
        <f>W6-W3</f>
        <v>0.015109411764705705</v>
      </c>
      <c r="Y6" s="295">
        <f>Y3/Y4</f>
        <v>0.0011764705882353213</v>
      </c>
      <c r="AA6" s="360"/>
      <c r="AB6" s="346"/>
      <c r="AC6" s="346"/>
      <c r="AD6" s="358"/>
      <c r="AE6" s="467"/>
      <c r="AF6" s="468">
        <f>DMAX($B$2:$N$240,"Draft",AF3:AF4)</f>
        <v>5.560000000000007</v>
      </c>
      <c r="AG6" s="469">
        <f>DMIN($B$2:$N$240,"Draft",AG3:AG4)</f>
        <v>5.580000000000007</v>
      </c>
      <c r="AH6" s="368"/>
      <c r="AJ6" s="501"/>
      <c r="AK6" s="346"/>
      <c r="AL6" s="346"/>
      <c r="AM6" s="301"/>
      <c r="AN6" s="303"/>
      <c r="AO6" s="303"/>
      <c r="AP6" s="295"/>
      <c r="AQ6" s="346"/>
      <c r="AR6" s="346"/>
      <c r="AS6" s="346"/>
      <c r="AT6" s="346"/>
      <c r="AU6" s="346"/>
      <c r="AV6" s="346"/>
      <c r="AW6" s="346"/>
      <c r="AX6" s="346"/>
      <c r="AY6" s="499"/>
      <c r="AZ6" s="275"/>
    </row>
    <row r="7" spans="1:51" ht="13.5" thickBot="1" thickTop="1">
      <c r="A7" s="275">
        <v>5</v>
      </c>
      <c r="B7" s="296">
        <v>1.68</v>
      </c>
      <c r="C7" s="484">
        <v>1120</v>
      </c>
      <c r="D7" s="275">
        <v>1092</v>
      </c>
      <c r="E7" s="275">
        <v>1080</v>
      </c>
      <c r="F7" s="485">
        <v>7.1</v>
      </c>
      <c r="G7" s="287">
        <v>6.9</v>
      </c>
      <c r="H7" s="486">
        <v>0.348</v>
      </c>
      <c r="I7" s="486">
        <v>0.355</v>
      </c>
      <c r="J7" s="487">
        <v>25.9</v>
      </c>
      <c r="K7" s="287">
        <v>25.3</v>
      </c>
      <c r="L7" s="288">
        <v>8.17</v>
      </c>
      <c r="M7" s="287">
        <v>173.9</v>
      </c>
      <c r="N7" s="296">
        <v>1.68</v>
      </c>
      <c r="O7" s="297"/>
      <c r="S7" s="310"/>
      <c r="V7" s="311" t="s">
        <v>316</v>
      </c>
      <c r="W7" s="312">
        <f>IF(W4=X4,W4,W4+X6/Y6)</f>
        <v>4074.8429999999994</v>
      </c>
      <c r="X7" s="310"/>
      <c r="Y7" s="313"/>
      <c r="AA7" s="361"/>
      <c r="AB7" s="305">
        <f>DMAX($B$2:$N$240,E2,AB4:AB5)</f>
        <v>4006</v>
      </c>
      <c r="AC7" s="305">
        <f>DMIN($B$2:$N$240,E2,AC4:AC5)</f>
        <v>4023</v>
      </c>
      <c r="AD7" s="358"/>
      <c r="AJ7" s="502"/>
      <c r="AK7" s="306">
        <f>DMAX($B$2:$N$240,"Draft",AK4:AK5)</f>
        <v>5.580000000000007</v>
      </c>
      <c r="AL7" s="306">
        <f>DMIN($B$2:$N$240,"Draft",AL4:AL5)</f>
        <v>5.600000000000008</v>
      </c>
      <c r="AM7" s="308"/>
      <c r="AN7" s="309">
        <f>AJ4</f>
        <v>5.5920828631875885</v>
      </c>
      <c r="AO7" s="303">
        <f>AN7-AN4</f>
        <v>0.012082863187581339</v>
      </c>
      <c r="AP7" s="295">
        <f>AP4/AP5</f>
        <v>0.0011764705882353213</v>
      </c>
      <c r="AQ7" s="303"/>
      <c r="AR7" s="303"/>
      <c r="AS7" s="306">
        <f>DMAX($B$2:$N$240,"Draft",AS4:AS5)</f>
        <v>6.08</v>
      </c>
      <c r="AT7" s="306">
        <f>DMIN($B$2:$N$240,"Draft",AT4:AT5)</f>
        <v>6.1</v>
      </c>
      <c r="AU7" s="303"/>
      <c r="AV7" s="303"/>
      <c r="AW7" s="306">
        <f>DMAX($B$2:$N$240,"Draft",AW4:AW5)</f>
        <v>5.080000000000024</v>
      </c>
      <c r="AX7" s="306">
        <f>DMIN($B$2:$N$240,"Draft",AX4:AX5)</f>
        <v>5.1000000000000245</v>
      </c>
      <c r="AY7" s="503"/>
    </row>
    <row r="8" spans="1:51" ht="12.75" thickBot="1">
      <c r="A8" s="275">
        <v>6</v>
      </c>
      <c r="B8" s="296">
        <v>1.7</v>
      </c>
      <c r="C8" s="484">
        <v>1134</v>
      </c>
      <c r="D8" s="275">
        <v>1106</v>
      </c>
      <c r="E8" s="275">
        <v>1094</v>
      </c>
      <c r="F8" s="485">
        <v>7.1</v>
      </c>
      <c r="G8" s="287">
        <v>7</v>
      </c>
      <c r="H8" s="486">
        <v>0.341</v>
      </c>
      <c r="I8" s="486">
        <v>0.353</v>
      </c>
      <c r="J8" s="487">
        <v>26</v>
      </c>
      <c r="K8" s="287">
        <v>25.3</v>
      </c>
      <c r="L8" s="288">
        <v>8.1</v>
      </c>
      <c r="M8" s="287">
        <v>172.1</v>
      </c>
      <c r="N8" s="296">
        <v>1.7</v>
      </c>
      <c r="O8" s="297"/>
      <c r="P8" s="314" t="s">
        <v>165</v>
      </c>
      <c r="Q8" s="294">
        <f>Q6</f>
        <v>4062</v>
      </c>
      <c r="R8" s="294">
        <f>R6</f>
        <v>4079</v>
      </c>
      <c r="S8" s="295">
        <f>IF(R8-Q8=0,1,R8-Q8)</f>
        <v>17</v>
      </c>
      <c r="U8" s="303"/>
      <c r="Y8" s="315"/>
      <c r="AA8" s="360"/>
      <c r="AB8" s="303"/>
      <c r="AC8" s="303"/>
      <c r="AD8" s="362"/>
      <c r="AJ8" s="502"/>
      <c r="AK8" s="303"/>
      <c r="AL8" s="303"/>
      <c r="AM8" s="311" t="s">
        <v>317</v>
      </c>
      <c r="AN8" s="312">
        <f>IF(AN5=AO5,AN5,AN5+AO7/AP7)</f>
        <v>4157.270433709444</v>
      </c>
      <c r="AO8" s="310"/>
      <c r="AP8" s="313"/>
      <c r="AQ8" s="303"/>
      <c r="AR8" s="303"/>
      <c r="AS8" s="303"/>
      <c r="AT8" s="303"/>
      <c r="AU8" s="310"/>
      <c r="AV8" s="303"/>
      <c r="AW8" s="303"/>
      <c r="AX8" s="303"/>
      <c r="AY8" s="504"/>
    </row>
    <row r="9" spans="1:51" ht="12.75" thickBot="1">
      <c r="A9" s="275">
        <v>7</v>
      </c>
      <c r="B9" s="296">
        <v>1.72</v>
      </c>
      <c r="C9" s="484">
        <v>1148</v>
      </c>
      <c r="D9" s="275">
        <v>1120</v>
      </c>
      <c r="E9" s="275">
        <v>1108</v>
      </c>
      <c r="F9" s="485">
        <v>7.1</v>
      </c>
      <c r="G9" s="287">
        <v>7</v>
      </c>
      <c r="H9" s="486">
        <v>0.333</v>
      </c>
      <c r="I9" s="486">
        <v>0.35</v>
      </c>
      <c r="J9" s="487">
        <v>26</v>
      </c>
      <c r="K9" s="287">
        <v>25.4</v>
      </c>
      <c r="L9" s="288">
        <v>8.03</v>
      </c>
      <c r="M9" s="287">
        <v>170.3</v>
      </c>
      <c r="N9" s="296">
        <v>1.72</v>
      </c>
      <c r="O9" s="297"/>
      <c r="P9" s="316" t="s">
        <v>278</v>
      </c>
      <c r="Q9" s="317">
        <f>VLOOKUP(Q8,$C$2:$N$240,12,FALSE)</f>
        <v>5.48</v>
      </c>
      <c r="R9" s="317">
        <f>VLOOKUP(R8,$C$2:$N$240,12,FALSE)</f>
        <v>5.5</v>
      </c>
      <c r="S9" s="295">
        <f>IF(R9-Q9=0,1,R9-Q9)</f>
        <v>0.019999999999999574</v>
      </c>
      <c r="U9" s="303"/>
      <c r="V9" s="293" t="s">
        <v>278</v>
      </c>
      <c r="W9" s="294">
        <f>$T$6</f>
        <v>5.600000000000008</v>
      </c>
      <c r="X9" s="294">
        <f>$U$6</f>
        <v>5.620000000000008</v>
      </c>
      <c r="Y9" s="295">
        <f>X9-W9</f>
        <v>0.020000000000000462</v>
      </c>
      <c r="AA9" s="363" t="s">
        <v>165</v>
      </c>
      <c r="AB9" s="294">
        <f>AB7</f>
        <v>4006</v>
      </c>
      <c r="AC9" s="294">
        <f>AC7</f>
        <v>4023</v>
      </c>
      <c r="AD9" s="358">
        <f>IF(AC9-AB9=0,1,AC9-AB9)</f>
        <v>17</v>
      </c>
      <c r="AJ9" s="502"/>
      <c r="AK9" s="303"/>
      <c r="AL9" s="303"/>
      <c r="AM9" s="303"/>
      <c r="AN9" s="303"/>
      <c r="AO9" s="303"/>
      <c r="AP9" s="315"/>
      <c r="AQ9" s="303"/>
      <c r="AR9" s="293" t="s">
        <v>278</v>
      </c>
      <c r="AS9" s="294">
        <f>AS7</f>
        <v>6.08</v>
      </c>
      <c r="AT9" s="294">
        <f>AT7</f>
        <v>6.1</v>
      </c>
      <c r="AU9" s="295">
        <f>AT9-AS9</f>
        <v>0.019999999999999574</v>
      </c>
      <c r="AV9" s="293" t="s">
        <v>278</v>
      </c>
      <c r="AW9" s="294">
        <f>AW7</f>
        <v>5.080000000000024</v>
      </c>
      <c r="AX9" s="294">
        <f>AX7</f>
        <v>5.1000000000000245</v>
      </c>
      <c r="AY9" s="503">
        <f>AX9-AW9</f>
        <v>0.020000000000000462</v>
      </c>
    </row>
    <row r="10" spans="1:51" ht="12">
      <c r="A10" s="275">
        <v>8</v>
      </c>
      <c r="B10" s="296">
        <v>1.74</v>
      </c>
      <c r="C10" s="484">
        <v>1162</v>
      </c>
      <c r="D10" s="275">
        <v>1134</v>
      </c>
      <c r="E10" s="275">
        <v>1122</v>
      </c>
      <c r="F10" s="485">
        <v>7.1</v>
      </c>
      <c r="G10" s="287">
        <v>7</v>
      </c>
      <c r="H10" s="486">
        <v>0.325</v>
      </c>
      <c r="I10" s="486">
        <v>0.348</v>
      </c>
      <c r="J10" s="487">
        <v>26.1</v>
      </c>
      <c r="K10" s="287">
        <v>25.4</v>
      </c>
      <c r="L10" s="288">
        <v>7.96</v>
      </c>
      <c r="M10" s="287">
        <v>168.6</v>
      </c>
      <c r="N10" s="296">
        <v>1.74</v>
      </c>
      <c r="O10" s="297"/>
      <c r="P10" s="301"/>
      <c r="Q10" s="303"/>
      <c r="R10" s="303"/>
      <c r="S10" s="295"/>
      <c r="V10" s="301" t="s">
        <v>165</v>
      </c>
      <c r="W10" s="302">
        <f>VLOOKUP(W9,$B$2:$D$240,2,FALSE)</f>
        <v>4164</v>
      </c>
      <c r="X10" s="302">
        <f>VLOOKUP(X9,$B$2:$D$240,2,FALSE)</f>
        <v>4181</v>
      </c>
      <c r="Y10" s="295">
        <f>X10-W10</f>
        <v>17</v>
      </c>
      <c r="AA10" s="364" t="s">
        <v>278</v>
      </c>
      <c r="AB10" s="317">
        <f>VLOOKUP(AB9,$E$2:$N$240,10,FALSE)</f>
        <v>5.560000000000007</v>
      </c>
      <c r="AC10" s="317">
        <f>VLOOKUP(AC9,$E$2:$N$240,10,FALSE)</f>
        <v>5.580000000000007</v>
      </c>
      <c r="AD10" s="358">
        <f>IF(AC10-AB10=0,1,AC10-AB10)</f>
        <v>0.020000000000000462</v>
      </c>
      <c r="AJ10" s="502"/>
      <c r="AK10" s="303"/>
      <c r="AL10" s="303"/>
      <c r="AM10" s="293" t="s">
        <v>278</v>
      </c>
      <c r="AN10" s="294">
        <f>AK7</f>
        <v>5.580000000000007</v>
      </c>
      <c r="AO10" s="294">
        <f>AL7</f>
        <v>5.600000000000008</v>
      </c>
      <c r="AP10" s="295">
        <f>AO10-AN10</f>
        <v>0.020000000000000462</v>
      </c>
      <c r="AQ10" s="303"/>
      <c r="AR10" s="301"/>
      <c r="AS10" s="321">
        <f>VLOOKUP(AS9,$B$2:$J$240,9,FALSE)</f>
        <v>44</v>
      </c>
      <c r="AT10" s="321">
        <f>VLOOKUP(AT9,$B$2:$J$240,9,FALSE)</f>
        <v>44.1</v>
      </c>
      <c r="AU10" s="295">
        <f>AT10-AS10</f>
        <v>0.10000000000000142</v>
      </c>
      <c r="AV10" s="301"/>
      <c r="AW10" s="321">
        <f>VLOOKUP(AW9,$B$2:$J$240,9,FALSE)</f>
        <v>38</v>
      </c>
      <c r="AX10" s="321">
        <f>VLOOKUP(AX9,$B$2:$J$240,9,FALSE)</f>
        <v>38.2</v>
      </c>
      <c r="AY10" s="503">
        <f>AX10-AW10</f>
        <v>0.20000000000000284</v>
      </c>
    </row>
    <row r="11" spans="1:51" ht="12">
      <c r="A11" s="275">
        <v>9</v>
      </c>
      <c r="B11" s="296">
        <v>1.76</v>
      </c>
      <c r="C11" s="484">
        <v>1177</v>
      </c>
      <c r="D11" s="275">
        <v>1148</v>
      </c>
      <c r="E11" s="275">
        <v>1136</v>
      </c>
      <c r="F11" s="485">
        <v>7.1</v>
      </c>
      <c r="G11" s="287">
        <v>7</v>
      </c>
      <c r="H11" s="486">
        <v>0.317</v>
      </c>
      <c r="I11" s="486">
        <v>0.345</v>
      </c>
      <c r="J11" s="487">
        <v>26.1</v>
      </c>
      <c r="K11" s="287">
        <v>25.5</v>
      </c>
      <c r="L11" s="288">
        <v>7.9</v>
      </c>
      <c r="M11" s="287">
        <v>166.9</v>
      </c>
      <c r="N11" s="296">
        <v>1.76</v>
      </c>
      <c r="O11" s="297"/>
      <c r="P11" s="308"/>
      <c r="Q11" s="321">
        <f>P3</f>
        <v>4074.843</v>
      </c>
      <c r="R11" s="303">
        <f>Q11-Q8</f>
        <v>12.842999999999847</v>
      </c>
      <c r="S11" s="295">
        <f>S8/S9</f>
        <v>850.0000000000181</v>
      </c>
      <c r="V11" s="301"/>
      <c r="W11" s="303"/>
      <c r="X11" s="303"/>
      <c r="Y11" s="295"/>
      <c r="AA11" s="360"/>
      <c r="AB11" s="303"/>
      <c r="AC11" s="303"/>
      <c r="AD11" s="358"/>
      <c r="AJ11" s="502"/>
      <c r="AK11" s="303"/>
      <c r="AL11" s="303"/>
      <c r="AM11" s="301" t="s">
        <v>52</v>
      </c>
      <c r="AN11" s="321">
        <f>VLOOKUP(AN10,$B$2:$F$240,5,FALSE)</f>
        <v>8.5</v>
      </c>
      <c r="AO11" s="317">
        <f>VLOOKUP(AO10,$B$2:$F$240,5,FALSE)</f>
        <v>8.5</v>
      </c>
      <c r="AP11" s="295">
        <f>AO11-AN11</f>
        <v>0</v>
      </c>
      <c r="AQ11" s="303"/>
      <c r="AR11" s="301"/>
      <c r="AS11" s="303"/>
      <c r="AT11" s="303"/>
      <c r="AU11" s="295"/>
      <c r="AV11" s="301"/>
      <c r="AW11" s="303"/>
      <c r="AX11" s="303"/>
      <c r="AY11" s="503"/>
    </row>
    <row r="12" spans="1:51" ht="12.75" thickBot="1">
      <c r="A12" s="275">
        <v>10</v>
      </c>
      <c r="B12" s="296">
        <v>1.78</v>
      </c>
      <c r="C12" s="484">
        <v>1191</v>
      </c>
      <c r="D12" s="275">
        <v>1162</v>
      </c>
      <c r="E12" s="275">
        <v>1150</v>
      </c>
      <c r="F12" s="485">
        <v>7.2</v>
      </c>
      <c r="G12" s="287">
        <v>7</v>
      </c>
      <c r="H12" s="486">
        <v>0.309</v>
      </c>
      <c r="I12" s="486">
        <v>0.342</v>
      </c>
      <c r="J12" s="487">
        <v>26.2</v>
      </c>
      <c r="K12" s="287">
        <v>25.5</v>
      </c>
      <c r="L12" s="288">
        <v>7.83</v>
      </c>
      <c r="M12" s="287">
        <v>165.2</v>
      </c>
      <c r="N12" s="296">
        <v>1.78</v>
      </c>
      <c r="O12" s="297"/>
      <c r="P12" s="311" t="s">
        <v>278</v>
      </c>
      <c r="Q12" s="319">
        <f>IF(Q9=R9,Q9,Q9+R11/S11)</f>
        <v>5.495109411764706</v>
      </c>
      <c r="R12" s="310"/>
      <c r="S12" s="313"/>
      <c r="V12" s="308"/>
      <c r="W12" s="309">
        <f>$S$3</f>
        <v>5.615109411764713</v>
      </c>
      <c r="X12" s="303">
        <f>W12-W9</f>
        <v>0.015109411764705705</v>
      </c>
      <c r="Y12" s="295">
        <f>Y9/Y10</f>
        <v>0.0011764705882353213</v>
      </c>
      <c r="AA12" s="361"/>
      <c r="AB12" s="321">
        <f>AA4</f>
        <v>4011.725742574257</v>
      </c>
      <c r="AC12" s="303">
        <f>AB12-AB9</f>
        <v>5.725742574256856</v>
      </c>
      <c r="AD12" s="358">
        <f>AD9/AD10</f>
        <v>849.9999999999803</v>
      </c>
      <c r="AJ12" s="502"/>
      <c r="AK12" s="303"/>
      <c r="AL12" s="303"/>
      <c r="AM12" s="301"/>
      <c r="AN12" s="303"/>
      <c r="AO12" s="303"/>
      <c r="AP12" s="295"/>
      <c r="AQ12" s="303"/>
      <c r="AR12" s="308"/>
      <c r="AS12" s="309">
        <f>AR4</f>
        <v>6.0920828631875885</v>
      </c>
      <c r="AT12" s="303">
        <f>AS12-AS9</f>
        <v>0.012082863187588444</v>
      </c>
      <c r="AU12" s="295">
        <f>AU9/AU10</f>
        <v>0.1999999999999929</v>
      </c>
      <c r="AV12" s="308"/>
      <c r="AW12" s="309">
        <f>AV4</f>
        <v>5.0920828631875885</v>
      </c>
      <c r="AX12" s="303">
        <f>AW12-AW9</f>
        <v>0.012082863187564463</v>
      </c>
      <c r="AY12" s="503">
        <f>AY9/AY10</f>
        <v>0.1000000000000009</v>
      </c>
    </row>
    <row r="13" spans="1:51" ht="12.75" thickBot="1">
      <c r="A13" s="275">
        <v>11</v>
      </c>
      <c r="B13" s="296">
        <v>1.8</v>
      </c>
      <c r="C13" s="484">
        <v>1205</v>
      </c>
      <c r="D13" s="275">
        <v>1176</v>
      </c>
      <c r="E13" s="275">
        <v>1164</v>
      </c>
      <c r="F13" s="485">
        <v>7.2</v>
      </c>
      <c r="G13" s="287">
        <v>7</v>
      </c>
      <c r="H13" s="486">
        <v>0.3</v>
      </c>
      <c r="I13" s="486">
        <v>0.339</v>
      </c>
      <c r="J13" s="487">
        <v>26.2</v>
      </c>
      <c r="K13" s="287">
        <v>25.6</v>
      </c>
      <c r="L13" s="288">
        <v>7.77</v>
      </c>
      <c r="M13" s="287">
        <v>163.6</v>
      </c>
      <c r="N13" s="296">
        <v>1.8</v>
      </c>
      <c r="O13" s="297"/>
      <c r="V13" s="311" t="s">
        <v>317</v>
      </c>
      <c r="W13" s="312">
        <f>IF(W10=X10,W10,W10+X12/Y12)</f>
        <v>4176.843</v>
      </c>
      <c r="X13" s="310"/>
      <c r="Y13" s="313"/>
      <c r="AA13" s="365" t="s">
        <v>278</v>
      </c>
      <c r="AB13" s="366">
        <f>IF(AB10=AC10,AB10,AB10+AC12/AD12)</f>
        <v>5.566736167734427</v>
      </c>
      <c r="AC13" s="367"/>
      <c r="AD13" s="368"/>
      <c r="AJ13" s="502"/>
      <c r="AK13" s="303"/>
      <c r="AL13" s="303"/>
      <c r="AM13" s="308"/>
      <c r="AN13" s="309">
        <f>AJ4</f>
        <v>5.5920828631875885</v>
      </c>
      <c r="AO13" s="303">
        <f>AN13-AN10</f>
        <v>0.012082863187581339</v>
      </c>
      <c r="AP13" s="295" t="e">
        <f>AP10/AP11</f>
        <v>#DIV/0!</v>
      </c>
      <c r="AQ13" s="303"/>
      <c r="AR13" s="323" t="s">
        <v>322</v>
      </c>
      <c r="AS13" s="319">
        <f>IF(AS10=AT10,AS10,AS10+AT12/AU12)</f>
        <v>44.06041431593795</v>
      </c>
      <c r="AT13" s="310"/>
      <c r="AU13" s="313"/>
      <c r="AV13" s="323" t="s">
        <v>322</v>
      </c>
      <c r="AW13" s="319">
        <f>IF(AW10=AX10,AW10,AW10+AX12/AY12)</f>
        <v>38.120828631875646</v>
      </c>
      <c r="AX13" s="310"/>
      <c r="AY13" s="504"/>
    </row>
    <row r="14" spans="1:51" ht="12.75" thickBot="1">
      <c r="A14" s="275">
        <v>12</v>
      </c>
      <c r="B14" s="296">
        <v>1.82</v>
      </c>
      <c r="C14" s="484">
        <v>1220</v>
      </c>
      <c r="D14" s="275">
        <v>1190</v>
      </c>
      <c r="E14" s="275">
        <v>1177</v>
      </c>
      <c r="F14" s="485">
        <v>7.2</v>
      </c>
      <c r="G14" s="287">
        <v>7</v>
      </c>
      <c r="H14" s="486">
        <v>0.291</v>
      </c>
      <c r="I14" s="486">
        <v>0.336</v>
      </c>
      <c r="J14" s="487">
        <v>26.3</v>
      </c>
      <c r="K14" s="287">
        <v>25.6</v>
      </c>
      <c r="L14" s="288">
        <v>7.71</v>
      </c>
      <c r="M14" s="287">
        <v>162</v>
      </c>
      <c r="N14" s="296">
        <v>1.82</v>
      </c>
      <c r="O14" s="297"/>
      <c r="Y14" s="315"/>
      <c r="AJ14" s="502"/>
      <c r="AK14" s="303"/>
      <c r="AL14" s="303"/>
      <c r="AM14" s="311" t="s">
        <v>320</v>
      </c>
      <c r="AN14" s="319">
        <f>IF(AN11=AO11,AN11,AN11+AO13/AP13)</f>
        <v>8.5</v>
      </c>
      <c r="AO14" s="310"/>
      <c r="AP14" s="313"/>
      <c r="AQ14" s="303"/>
      <c r="AR14" s="303"/>
      <c r="AS14" s="303"/>
      <c r="AT14" s="303"/>
      <c r="AU14" s="303"/>
      <c r="AV14" s="303"/>
      <c r="AW14" s="303"/>
      <c r="AX14" s="303"/>
      <c r="AY14" s="503"/>
    </row>
    <row r="15" spans="1:51" ht="13.5" thickBot="1" thickTop="1">
      <c r="A15" s="275">
        <v>13</v>
      </c>
      <c r="B15" s="296">
        <v>1.84</v>
      </c>
      <c r="C15" s="484">
        <v>1234</v>
      </c>
      <c r="D15" s="275">
        <v>1204</v>
      </c>
      <c r="E15" s="275">
        <v>1191</v>
      </c>
      <c r="F15" s="485">
        <v>7.2</v>
      </c>
      <c r="G15" s="287">
        <v>7</v>
      </c>
      <c r="H15" s="486">
        <v>0.281</v>
      </c>
      <c r="I15" s="486">
        <v>0.333</v>
      </c>
      <c r="J15" s="487">
        <v>26.3</v>
      </c>
      <c r="K15" s="287">
        <v>25.7</v>
      </c>
      <c r="L15" s="288">
        <v>7.65</v>
      </c>
      <c r="M15" s="287">
        <v>160.4</v>
      </c>
      <c r="N15" s="296">
        <v>1.84</v>
      </c>
      <c r="O15" s="297"/>
      <c r="P15" s="284" t="s">
        <v>318</v>
      </c>
      <c r="V15" s="293" t="s">
        <v>278</v>
      </c>
      <c r="W15" s="294">
        <f>$T$6</f>
        <v>5.600000000000008</v>
      </c>
      <c r="X15" s="294">
        <f>$U$6</f>
        <v>5.620000000000008</v>
      </c>
      <c r="Y15" s="295">
        <f>X15-W15</f>
        <v>0.020000000000000462</v>
      </c>
      <c r="AA15" s="459" t="s">
        <v>278</v>
      </c>
      <c r="AB15" s="460">
        <f>AF6</f>
        <v>5.560000000000007</v>
      </c>
      <c r="AC15" s="460">
        <f>AG6</f>
        <v>5.580000000000007</v>
      </c>
      <c r="AD15" s="356">
        <f>AC15-AB15</f>
        <v>0.020000000000000462</v>
      </c>
      <c r="AJ15" s="502"/>
      <c r="AK15" s="303"/>
      <c r="AL15" s="303"/>
      <c r="AM15" s="303"/>
      <c r="AN15" s="303"/>
      <c r="AO15" s="303"/>
      <c r="AP15" s="315"/>
      <c r="AQ15" s="303"/>
      <c r="AR15" s="303"/>
      <c r="AS15" s="303"/>
      <c r="AT15" s="303"/>
      <c r="AU15" s="303"/>
      <c r="AV15" s="303"/>
      <c r="AW15" s="303"/>
      <c r="AX15" s="303"/>
      <c r="AY15" s="503"/>
    </row>
    <row r="16" spans="1:51" ht="12">
      <c r="A16" s="275">
        <v>14</v>
      </c>
      <c r="B16" s="296">
        <v>1.86</v>
      </c>
      <c r="C16" s="484">
        <v>1248</v>
      </c>
      <c r="D16" s="275">
        <v>1218</v>
      </c>
      <c r="E16" s="275">
        <v>1205</v>
      </c>
      <c r="F16" s="485">
        <v>7.2</v>
      </c>
      <c r="G16" s="287">
        <v>7</v>
      </c>
      <c r="H16" s="486">
        <v>0.272</v>
      </c>
      <c r="I16" s="486">
        <v>0.33</v>
      </c>
      <c r="J16" s="487">
        <v>26.4</v>
      </c>
      <c r="K16" s="287">
        <v>25.7</v>
      </c>
      <c r="L16" s="288">
        <v>7.59</v>
      </c>
      <c r="M16" s="287">
        <v>158.9</v>
      </c>
      <c r="N16" s="296">
        <v>1.86</v>
      </c>
      <c r="O16" s="297"/>
      <c r="P16" s="330">
        <f>Initial!C20</f>
        <v>4074.843</v>
      </c>
      <c r="Q16" s="320" t="s">
        <v>307</v>
      </c>
      <c r="R16" s="320" t="s">
        <v>307</v>
      </c>
      <c r="V16" s="301" t="s">
        <v>165</v>
      </c>
      <c r="W16" s="302">
        <f>VLOOKUP(W15,$B$2:$E$240,4,FALSE)</f>
        <v>4039</v>
      </c>
      <c r="X16" s="302">
        <f>VLOOKUP(X15,$B$2:$E$240,4,FALSE)</f>
        <v>4056</v>
      </c>
      <c r="Y16" s="295">
        <f>X16-W16</f>
        <v>17</v>
      </c>
      <c r="AA16" s="360" t="s">
        <v>31</v>
      </c>
      <c r="AB16" s="306">
        <f>VLOOKUP(AB15,$B$2:$I$240,8,FALSE)</f>
        <v>-0.464</v>
      </c>
      <c r="AC16" s="306">
        <f>VLOOKUP(AC15,$B$2:$I$240,8,FALSE)</f>
        <v>-0.47</v>
      </c>
      <c r="AD16" s="358">
        <f>AC16-AB16</f>
        <v>-0.00599999999999995</v>
      </c>
      <c r="AJ16" s="505"/>
      <c r="AK16" s="349"/>
      <c r="AL16" s="303"/>
      <c r="AM16" s="293" t="s">
        <v>278</v>
      </c>
      <c r="AN16" s="294">
        <f>AK7</f>
        <v>5.580000000000007</v>
      </c>
      <c r="AO16" s="294">
        <f>AL7</f>
        <v>5.600000000000008</v>
      </c>
      <c r="AP16" s="295">
        <f>AO16-AN16</f>
        <v>0.020000000000000462</v>
      </c>
      <c r="AQ16" s="303"/>
      <c r="AR16" s="303"/>
      <c r="AS16" s="303"/>
      <c r="AT16" s="303"/>
      <c r="AU16" s="303"/>
      <c r="AV16" s="303"/>
      <c r="AW16" s="303"/>
      <c r="AX16" s="303"/>
      <c r="AY16" s="503"/>
    </row>
    <row r="17" spans="1:51" ht="12">
      <c r="A17" s="275">
        <v>15</v>
      </c>
      <c r="B17" s="296">
        <v>1.88</v>
      </c>
      <c r="C17" s="484">
        <v>1263</v>
      </c>
      <c r="D17" s="275">
        <v>1232</v>
      </c>
      <c r="E17" s="275">
        <v>1219</v>
      </c>
      <c r="F17" s="485">
        <v>7.2</v>
      </c>
      <c r="G17" s="287">
        <v>7</v>
      </c>
      <c r="H17" s="486">
        <v>0.263</v>
      </c>
      <c r="I17" s="486">
        <v>0.327</v>
      </c>
      <c r="J17" s="487">
        <v>26.4</v>
      </c>
      <c r="K17" s="287">
        <v>25.8</v>
      </c>
      <c r="L17" s="288">
        <v>7.54</v>
      </c>
      <c r="M17" s="287">
        <v>157.4</v>
      </c>
      <c r="N17" s="296">
        <v>1.88</v>
      </c>
      <c r="O17" s="297"/>
      <c r="P17" s="298"/>
      <c r="Q17" s="299" t="str">
        <f>CONCATENATE("&lt;","=",P16)</f>
        <v>&lt;=4074,843</v>
      </c>
      <c r="R17" s="300" t="str">
        <f>CONCATENATE("&gt;","=",P16)</f>
        <v>&gt;=4074,843</v>
      </c>
      <c r="V17" s="301"/>
      <c r="W17" s="303"/>
      <c r="X17" s="303"/>
      <c r="Y17" s="295"/>
      <c r="AA17" s="360"/>
      <c r="AB17" s="303"/>
      <c r="AC17" s="303"/>
      <c r="AD17" s="358"/>
      <c r="AJ17" s="505"/>
      <c r="AK17" s="349"/>
      <c r="AL17" s="303"/>
      <c r="AM17" s="301" t="s">
        <v>32</v>
      </c>
      <c r="AN17" s="306">
        <f>VLOOKUP(AN16,$B$2:$H$240,7,FALSE)</f>
        <v>-1.85</v>
      </c>
      <c r="AO17" s="306">
        <f>VLOOKUP(AO16,$B$2:$H$240,7,FALSE)</f>
        <v>-1.861</v>
      </c>
      <c r="AP17" s="295">
        <f>AO17-AN17</f>
        <v>-0.010999999999999899</v>
      </c>
      <c r="AQ17" s="303"/>
      <c r="AR17" s="303"/>
      <c r="AS17" s="303"/>
      <c r="AT17" s="303"/>
      <c r="AU17" s="303"/>
      <c r="AV17" s="303"/>
      <c r="AW17" s="303"/>
      <c r="AX17" s="303"/>
      <c r="AY17" s="503"/>
    </row>
    <row r="18" spans="1:51" ht="12">
      <c r="A18" s="275">
        <v>16</v>
      </c>
      <c r="B18" s="296">
        <v>1.9</v>
      </c>
      <c r="C18" s="484">
        <v>1277</v>
      </c>
      <c r="D18" s="275">
        <v>1246</v>
      </c>
      <c r="E18" s="275">
        <v>1233</v>
      </c>
      <c r="F18" s="485">
        <v>7.2</v>
      </c>
      <c r="G18" s="287">
        <v>7</v>
      </c>
      <c r="H18" s="486">
        <v>0.254</v>
      </c>
      <c r="I18" s="486">
        <v>0.324</v>
      </c>
      <c r="J18" s="487">
        <v>26.5</v>
      </c>
      <c r="K18" s="287">
        <v>25.8</v>
      </c>
      <c r="L18" s="288">
        <v>7.48</v>
      </c>
      <c r="M18" s="287">
        <v>156</v>
      </c>
      <c r="N18" s="296">
        <v>1.9</v>
      </c>
      <c r="O18" s="297"/>
      <c r="Q18" s="275"/>
      <c r="R18" s="275"/>
      <c r="V18" s="308"/>
      <c r="W18" s="309">
        <f>$S$3</f>
        <v>5.615109411764713</v>
      </c>
      <c r="X18" s="303">
        <f>W18-W15</f>
        <v>0.015109411764705705</v>
      </c>
      <c r="Y18" s="295">
        <f>Y15/Y16</f>
        <v>0.0011764705882353213</v>
      </c>
      <c r="AA18" s="361"/>
      <c r="AB18" s="309">
        <f>AB13</f>
        <v>5.566736167734427</v>
      </c>
      <c r="AC18" s="303">
        <f>AB18-AB15</f>
        <v>0.0067361677344202064</v>
      </c>
      <c r="AD18" s="358">
        <f>AD15/AD16</f>
        <v>-3.3333333333334383</v>
      </c>
      <c r="AJ18" s="505"/>
      <c r="AK18" s="349"/>
      <c r="AL18" s="303"/>
      <c r="AM18" s="301"/>
      <c r="AN18" s="303"/>
      <c r="AO18" s="303"/>
      <c r="AP18" s="295"/>
      <c r="AQ18" s="303"/>
      <c r="AR18" s="303"/>
      <c r="AS18" s="303"/>
      <c r="AT18" s="303"/>
      <c r="AU18" s="303"/>
      <c r="AV18" s="303"/>
      <c r="AW18" s="303"/>
      <c r="AX18" s="303"/>
      <c r="AY18" s="503"/>
    </row>
    <row r="19" spans="1:51" ht="12.75" thickBot="1">
      <c r="A19" s="275">
        <v>17</v>
      </c>
      <c r="B19" s="296">
        <v>1.92</v>
      </c>
      <c r="C19" s="484">
        <v>1291</v>
      </c>
      <c r="D19" s="275">
        <v>1260</v>
      </c>
      <c r="E19" s="275">
        <v>1247</v>
      </c>
      <c r="F19" s="485">
        <v>7.2</v>
      </c>
      <c r="G19" s="287">
        <v>7</v>
      </c>
      <c r="H19" s="486">
        <v>0.244</v>
      </c>
      <c r="I19" s="486">
        <v>0.321</v>
      </c>
      <c r="J19" s="487">
        <v>26.5</v>
      </c>
      <c r="K19" s="287">
        <v>25.9</v>
      </c>
      <c r="L19" s="288">
        <v>7.43</v>
      </c>
      <c r="M19" s="287">
        <v>154.5</v>
      </c>
      <c r="N19" s="296">
        <v>1.92</v>
      </c>
      <c r="O19" s="297"/>
      <c r="P19" s="304"/>
      <c r="Q19" s="305">
        <f>DMAX($B$2:$N$240,D2,Q16:Q17)</f>
        <v>4062</v>
      </c>
      <c r="R19" s="305">
        <f>DMIN($B$2:$N$240,D2,R16:R17)</f>
        <v>4079</v>
      </c>
      <c r="V19" s="311" t="s">
        <v>319</v>
      </c>
      <c r="W19" s="312">
        <f>IF(W16=X16,W16,W16+X18/Y18)</f>
        <v>4051.8429999999994</v>
      </c>
      <c r="X19" s="310"/>
      <c r="Y19" s="313"/>
      <c r="AA19" s="365" t="s">
        <v>31</v>
      </c>
      <c r="AB19" s="461">
        <f>IF(AB16=AC16,AB16,AB16+AC18/AD18)</f>
        <v>-0.46602085032032603</v>
      </c>
      <c r="AC19" s="367"/>
      <c r="AD19" s="368"/>
      <c r="AJ19" s="505"/>
      <c r="AK19" s="349"/>
      <c r="AL19" s="303"/>
      <c r="AM19" s="308"/>
      <c r="AN19" s="309">
        <f>AJ4</f>
        <v>5.5920828631875885</v>
      </c>
      <c r="AO19" s="303">
        <f>AN19-AN16</f>
        <v>0.012082863187581339</v>
      </c>
      <c r="AP19" s="295">
        <f>AP16/AP17</f>
        <v>-1.818181818181877</v>
      </c>
      <c r="AQ19" s="303"/>
      <c r="AR19" s="303"/>
      <c r="AS19" s="303"/>
      <c r="AT19" s="303"/>
      <c r="AU19" s="303"/>
      <c r="AV19" s="303"/>
      <c r="AW19" s="303"/>
      <c r="AX19" s="303"/>
      <c r="AY19" s="503"/>
    </row>
    <row r="20" spans="1:51" ht="12.75" thickBot="1">
      <c r="A20" s="275">
        <v>18</v>
      </c>
      <c r="B20" s="296">
        <v>1.94</v>
      </c>
      <c r="C20" s="484">
        <v>1306</v>
      </c>
      <c r="D20" s="275">
        <v>1274</v>
      </c>
      <c r="E20" s="275">
        <v>1261</v>
      </c>
      <c r="F20" s="485">
        <v>7.2</v>
      </c>
      <c r="G20" s="287">
        <v>7</v>
      </c>
      <c r="H20" s="486">
        <v>0.235</v>
      </c>
      <c r="I20" s="486">
        <v>0.318</v>
      </c>
      <c r="J20" s="487">
        <v>26.6</v>
      </c>
      <c r="K20" s="287">
        <v>25.9</v>
      </c>
      <c r="L20" s="288">
        <v>7.37</v>
      </c>
      <c r="M20" s="287">
        <v>153.1</v>
      </c>
      <c r="N20" s="296">
        <v>1.94</v>
      </c>
      <c r="O20" s="297"/>
      <c r="S20" s="310"/>
      <c r="Y20" s="315"/>
      <c r="AA20" s="293" t="s">
        <v>278</v>
      </c>
      <c r="AB20" s="294">
        <f>AF6</f>
        <v>5.560000000000007</v>
      </c>
      <c r="AC20" s="294">
        <f>AG6</f>
        <v>5.580000000000007</v>
      </c>
      <c r="AD20" s="295">
        <f>AC20-AB20</f>
        <v>0.020000000000000462</v>
      </c>
      <c r="AJ20" s="505"/>
      <c r="AK20" s="349"/>
      <c r="AL20" s="303"/>
      <c r="AM20" s="311" t="s">
        <v>32</v>
      </c>
      <c r="AN20" s="322">
        <f>IF(AN17=AO17,AN17,AN17+AO19/AP19)</f>
        <v>-1.8566455747531696</v>
      </c>
      <c r="AO20" s="310"/>
      <c r="AP20" s="313"/>
      <c r="AQ20" s="303"/>
      <c r="AR20" s="303"/>
      <c r="AS20" s="303"/>
      <c r="AT20" s="303"/>
      <c r="AU20" s="303"/>
      <c r="AV20" s="303"/>
      <c r="AW20" s="303"/>
      <c r="AX20" s="303"/>
      <c r="AY20" s="503"/>
    </row>
    <row r="21" spans="1:51" ht="12.75" thickBot="1">
      <c r="A21" s="275">
        <v>19</v>
      </c>
      <c r="B21" s="296">
        <v>1.96</v>
      </c>
      <c r="C21" s="484">
        <v>1320</v>
      </c>
      <c r="D21" s="275">
        <v>1288</v>
      </c>
      <c r="E21" s="275">
        <v>1275</v>
      </c>
      <c r="F21" s="485">
        <v>7.2</v>
      </c>
      <c r="G21" s="287">
        <v>7</v>
      </c>
      <c r="H21" s="486">
        <v>0.226</v>
      </c>
      <c r="I21" s="486">
        <v>0.316</v>
      </c>
      <c r="J21" s="487">
        <v>26.6</v>
      </c>
      <c r="K21" s="287">
        <v>26</v>
      </c>
      <c r="L21" s="288">
        <v>7.32</v>
      </c>
      <c r="M21" s="287">
        <v>151.8</v>
      </c>
      <c r="N21" s="296">
        <v>1.96</v>
      </c>
      <c r="O21" s="297"/>
      <c r="P21" s="314" t="s">
        <v>165</v>
      </c>
      <c r="Q21" s="294">
        <f>Q19</f>
        <v>4062</v>
      </c>
      <c r="R21" s="294">
        <f>R19</f>
        <v>4079</v>
      </c>
      <c r="S21" s="295">
        <f>IF(R21-Q21=0,1,R21-Q21)</f>
        <v>17</v>
      </c>
      <c r="V21" s="293" t="s">
        <v>278</v>
      </c>
      <c r="W21" s="294">
        <f>$T$6</f>
        <v>5.600000000000008</v>
      </c>
      <c r="X21" s="294">
        <f>$U$6</f>
        <v>5.620000000000008</v>
      </c>
      <c r="Y21" s="295">
        <f>X21-W21</f>
        <v>0.020000000000000462</v>
      </c>
      <c r="AA21" s="301" t="s">
        <v>32</v>
      </c>
      <c r="AB21" s="306">
        <f>VLOOKUP(AB20,$B$2:$H$240,7,FALSE)</f>
        <v>-1.839</v>
      </c>
      <c r="AC21" s="306">
        <f>VLOOKUP(AC20,$B$2:$H$240,7,FALSE)</f>
        <v>-1.85</v>
      </c>
      <c r="AD21" s="295">
        <f>AC21-AB21</f>
        <v>-0.01100000000000012</v>
      </c>
      <c r="AJ21" s="505"/>
      <c r="AK21" s="349"/>
      <c r="AL21" s="303"/>
      <c r="AM21" s="303"/>
      <c r="AN21" s="303"/>
      <c r="AO21" s="303"/>
      <c r="AP21" s="315"/>
      <c r="AQ21" s="303"/>
      <c r="AR21" s="303"/>
      <c r="AS21" s="303"/>
      <c r="AT21" s="303"/>
      <c r="AU21" s="303"/>
      <c r="AV21" s="303"/>
      <c r="AW21" s="303"/>
      <c r="AX21" s="303"/>
      <c r="AY21" s="503"/>
    </row>
    <row r="22" spans="1:51" ht="12">
      <c r="A22" s="275">
        <v>20</v>
      </c>
      <c r="B22" s="296">
        <v>1.98</v>
      </c>
      <c r="C22" s="484">
        <v>1334</v>
      </c>
      <c r="D22" s="275">
        <v>1302</v>
      </c>
      <c r="E22" s="275">
        <v>1289</v>
      </c>
      <c r="F22" s="485">
        <v>7.2</v>
      </c>
      <c r="G22" s="287">
        <v>7</v>
      </c>
      <c r="H22" s="486">
        <v>0.217</v>
      </c>
      <c r="I22" s="486">
        <v>0.313</v>
      </c>
      <c r="J22" s="487">
        <v>26.7</v>
      </c>
      <c r="K22" s="287">
        <v>26</v>
      </c>
      <c r="L22" s="288">
        <v>7.27</v>
      </c>
      <c r="M22" s="287">
        <v>150.4</v>
      </c>
      <c r="N22" s="296">
        <v>1.98</v>
      </c>
      <c r="O22" s="297"/>
      <c r="P22" s="316" t="s">
        <v>278</v>
      </c>
      <c r="Q22" s="317">
        <f>VLOOKUP(Q21,$D$2:$N$240,11,FALSE)</f>
        <v>5.600000000000008</v>
      </c>
      <c r="R22" s="317">
        <f>VLOOKUP(R21,$D$2:$N$240,11,FALSE)</f>
        <v>5.620000000000008</v>
      </c>
      <c r="S22" s="295">
        <f>IF(R22-Q22=0,1,R22-Q22)</f>
        <v>0.020000000000000462</v>
      </c>
      <c r="V22" s="301" t="s">
        <v>52</v>
      </c>
      <c r="W22" s="321">
        <f>VLOOKUP(W21,$B$2:$F$240,5,FALSE)</f>
        <v>8.5</v>
      </c>
      <c r="X22" s="317">
        <f>VLOOKUP(X21,$B$2:$F$240,5,FALSE)</f>
        <v>8.5</v>
      </c>
      <c r="Y22" s="295">
        <f>X22-W22</f>
        <v>0</v>
      </c>
      <c r="AA22" s="301"/>
      <c r="AB22" s="303"/>
      <c r="AC22" s="303"/>
      <c r="AD22" s="295"/>
      <c r="AJ22" s="505"/>
      <c r="AK22" s="349"/>
      <c r="AL22" s="303"/>
      <c r="AM22" s="293" t="s">
        <v>278</v>
      </c>
      <c r="AN22" s="294">
        <f>AN16</f>
        <v>5.580000000000007</v>
      </c>
      <c r="AO22" s="294">
        <f>AO16</f>
        <v>5.600000000000008</v>
      </c>
      <c r="AP22" s="295">
        <f>AO22-AN22</f>
        <v>0.020000000000000462</v>
      </c>
      <c r="AQ22" s="303"/>
      <c r="AR22" s="303"/>
      <c r="AS22" s="303"/>
      <c r="AT22" s="303"/>
      <c r="AU22" s="303"/>
      <c r="AV22" s="303"/>
      <c r="AW22" s="303"/>
      <c r="AX22" s="303"/>
      <c r="AY22" s="503"/>
    </row>
    <row r="23" spans="1:51" ht="12">
      <c r="A23" s="275">
        <v>21</v>
      </c>
      <c r="B23" s="296">
        <v>2</v>
      </c>
      <c r="C23" s="484">
        <v>1349</v>
      </c>
      <c r="D23" s="275">
        <v>1316</v>
      </c>
      <c r="E23" s="275">
        <v>1303</v>
      </c>
      <c r="F23" s="485">
        <v>7.2</v>
      </c>
      <c r="G23" s="287">
        <v>7</v>
      </c>
      <c r="H23" s="486">
        <v>0.207</v>
      </c>
      <c r="I23" s="486">
        <v>0.31</v>
      </c>
      <c r="J23" s="487">
        <v>26.7</v>
      </c>
      <c r="K23" s="287">
        <v>26.1</v>
      </c>
      <c r="L23" s="288">
        <v>7.22</v>
      </c>
      <c r="M23" s="287">
        <v>149.1</v>
      </c>
      <c r="N23" s="296">
        <v>2</v>
      </c>
      <c r="O23" s="297"/>
      <c r="P23" s="301"/>
      <c r="Q23" s="303"/>
      <c r="R23" s="303"/>
      <c r="S23" s="295"/>
      <c r="V23" s="301"/>
      <c r="W23" s="303"/>
      <c r="X23" s="303"/>
      <c r="Y23" s="295"/>
      <c r="AA23" s="308"/>
      <c r="AB23" s="309">
        <f>AE3</f>
        <v>5.566736167734427</v>
      </c>
      <c r="AC23" s="303">
        <f>AB23-AB20</f>
        <v>0.0067361677344202064</v>
      </c>
      <c r="AD23" s="295">
        <f>AD20/AD21</f>
        <v>-1.81818181818184</v>
      </c>
      <c r="AJ23" s="505"/>
      <c r="AK23" s="349"/>
      <c r="AL23" s="303"/>
      <c r="AM23" s="301" t="s">
        <v>31</v>
      </c>
      <c r="AN23" s="306">
        <f>VLOOKUP(AN22,$B$2:$I$240,8,FALSE)</f>
        <v>-0.47</v>
      </c>
      <c r="AO23" s="306">
        <f>VLOOKUP(AO22,$B$2:$I$240,8,FALSE)</f>
        <v>-0.476</v>
      </c>
      <c r="AP23" s="295">
        <f>AO23-AN23</f>
        <v>-0.006000000000000005</v>
      </c>
      <c r="AQ23" s="303"/>
      <c r="AR23" s="303"/>
      <c r="AS23" s="303"/>
      <c r="AT23" s="303"/>
      <c r="AU23" s="303"/>
      <c r="AV23" s="303"/>
      <c r="AW23" s="303"/>
      <c r="AX23" s="303"/>
      <c r="AY23" s="503"/>
    </row>
    <row r="24" spans="1:51" ht="12.75" thickBot="1">
      <c r="A24" s="275">
        <v>22</v>
      </c>
      <c r="B24" s="296">
        <v>2.02</v>
      </c>
      <c r="C24" s="484">
        <v>1363</v>
      </c>
      <c r="D24" s="275">
        <v>1330</v>
      </c>
      <c r="E24" s="275">
        <v>1317</v>
      </c>
      <c r="F24" s="485">
        <v>7.2</v>
      </c>
      <c r="G24" s="287">
        <v>7</v>
      </c>
      <c r="H24" s="486">
        <v>0.198</v>
      </c>
      <c r="I24" s="486">
        <v>0.308</v>
      </c>
      <c r="J24" s="487">
        <v>26.8</v>
      </c>
      <c r="K24" s="287">
        <v>26.1</v>
      </c>
      <c r="L24" s="288">
        <v>7.18</v>
      </c>
      <c r="M24" s="287">
        <v>147.8</v>
      </c>
      <c r="N24" s="296">
        <v>2.02</v>
      </c>
      <c r="O24" s="297"/>
      <c r="P24" s="308"/>
      <c r="Q24" s="321">
        <f>P16</f>
        <v>4074.843</v>
      </c>
      <c r="R24" s="303">
        <f>Q24-Q21</f>
        <v>12.842999999999847</v>
      </c>
      <c r="S24" s="295">
        <f>S21/S22</f>
        <v>849.9999999999803</v>
      </c>
      <c r="V24" s="308"/>
      <c r="W24" s="309">
        <f>$S$3</f>
        <v>5.615109411764713</v>
      </c>
      <c r="X24" s="303">
        <f>W24-W21</f>
        <v>0.015109411764705705</v>
      </c>
      <c r="Y24" s="295" t="e">
        <f>Y21/Y22</f>
        <v>#DIV/0!</v>
      </c>
      <c r="AA24" s="311" t="s">
        <v>32</v>
      </c>
      <c r="AB24" s="322">
        <f>IF(AB21=AC21,AB21,AB21+AC23/AD23)</f>
        <v>-1.842704892253931</v>
      </c>
      <c r="AC24" s="310"/>
      <c r="AD24" s="313"/>
      <c r="AJ24" s="505"/>
      <c r="AK24" s="349"/>
      <c r="AL24" s="303"/>
      <c r="AM24" s="301"/>
      <c r="AN24" s="303"/>
      <c r="AO24" s="303"/>
      <c r="AP24" s="295"/>
      <c r="AQ24" s="303"/>
      <c r="AR24" s="303"/>
      <c r="AS24" s="303"/>
      <c r="AT24" s="303"/>
      <c r="AU24" s="303"/>
      <c r="AV24" s="303"/>
      <c r="AW24" s="303"/>
      <c r="AX24" s="303"/>
      <c r="AY24" s="503"/>
    </row>
    <row r="25" spans="1:51" ht="12.75" thickBot="1">
      <c r="A25" s="275">
        <v>23</v>
      </c>
      <c r="B25" s="296">
        <v>2.04</v>
      </c>
      <c r="C25" s="484">
        <v>1378</v>
      </c>
      <c r="D25" s="275">
        <v>1344</v>
      </c>
      <c r="E25" s="275">
        <v>1331</v>
      </c>
      <c r="F25" s="485">
        <v>7.2</v>
      </c>
      <c r="G25" s="287">
        <v>7.1</v>
      </c>
      <c r="H25" s="486">
        <v>0.189</v>
      </c>
      <c r="I25" s="486">
        <v>0.305</v>
      </c>
      <c r="J25" s="487">
        <v>26.8</v>
      </c>
      <c r="K25" s="287">
        <v>26.2</v>
      </c>
      <c r="L25" s="288">
        <v>7.13</v>
      </c>
      <c r="M25" s="287">
        <v>146.6</v>
      </c>
      <c r="N25" s="296">
        <v>2.04</v>
      </c>
      <c r="O25" s="297"/>
      <c r="P25" s="311" t="s">
        <v>278</v>
      </c>
      <c r="Q25" s="319">
        <f>IF(Q22=R22,Q22,Q22+R24/S24)</f>
        <v>5.615109411764713</v>
      </c>
      <c r="R25" s="310"/>
      <c r="S25" s="313"/>
      <c r="V25" s="311" t="s">
        <v>320</v>
      </c>
      <c r="W25" s="319">
        <f>IF(W22=X22,W22,W22+X24/Y24)</f>
        <v>8.5</v>
      </c>
      <c r="X25" s="310"/>
      <c r="Y25" s="313"/>
      <c r="AJ25" s="505"/>
      <c r="AK25" s="349"/>
      <c r="AL25" s="303"/>
      <c r="AM25" s="308"/>
      <c r="AN25" s="309">
        <f>AN22</f>
        <v>5.580000000000007</v>
      </c>
      <c r="AO25" s="303">
        <f>AN25-AN22</f>
        <v>0</v>
      </c>
      <c r="AP25" s="295">
        <f>AP22/AP23</f>
        <v>-3.333333333333407</v>
      </c>
      <c r="AQ25" s="303"/>
      <c r="AR25" s="303"/>
      <c r="AS25" s="303"/>
      <c r="AT25" s="303"/>
      <c r="AU25" s="303"/>
      <c r="AV25" s="303"/>
      <c r="AW25" s="303"/>
      <c r="AX25" s="303"/>
      <c r="AY25" s="503"/>
    </row>
    <row r="26" spans="1:51" ht="12.75" thickBot="1">
      <c r="A26" s="275">
        <v>24</v>
      </c>
      <c r="B26" s="296">
        <v>2.06</v>
      </c>
      <c r="C26" s="484">
        <v>1392</v>
      </c>
      <c r="D26" s="275">
        <v>1358</v>
      </c>
      <c r="E26" s="275">
        <v>1345</v>
      </c>
      <c r="F26" s="485">
        <v>7.2</v>
      </c>
      <c r="G26" s="287">
        <v>7.1</v>
      </c>
      <c r="H26" s="486">
        <v>0.179</v>
      </c>
      <c r="I26" s="486">
        <v>0.303</v>
      </c>
      <c r="J26" s="487">
        <v>26.9</v>
      </c>
      <c r="K26" s="287">
        <v>26.2</v>
      </c>
      <c r="L26" s="288">
        <v>7.09</v>
      </c>
      <c r="M26" s="287">
        <v>145.3</v>
      </c>
      <c r="N26" s="296">
        <v>2.06</v>
      </c>
      <c r="O26" s="297"/>
      <c r="Y26" s="315"/>
      <c r="AJ26" s="505"/>
      <c r="AK26" s="349"/>
      <c r="AL26" s="303"/>
      <c r="AM26" s="311" t="s">
        <v>31</v>
      </c>
      <c r="AN26" s="322">
        <f>IF(AN23=AO23,AN23,AN23+AO25/AP25)</f>
        <v>-0.47</v>
      </c>
      <c r="AO26" s="310"/>
      <c r="AP26" s="313"/>
      <c r="AQ26" s="303"/>
      <c r="AR26" s="303"/>
      <c r="AS26" s="303"/>
      <c r="AT26" s="303"/>
      <c r="AU26" s="303"/>
      <c r="AV26" s="303"/>
      <c r="AW26" s="303"/>
      <c r="AX26" s="303"/>
      <c r="AY26" s="503"/>
    </row>
    <row r="27" spans="1:51" ht="12">
      <c r="A27" s="275">
        <v>25</v>
      </c>
      <c r="B27" s="296">
        <v>2.08</v>
      </c>
      <c r="C27" s="484">
        <v>1407</v>
      </c>
      <c r="D27" s="275">
        <v>1373</v>
      </c>
      <c r="E27" s="275">
        <v>1359</v>
      </c>
      <c r="F27" s="485">
        <v>7.2</v>
      </c>
      <c r="G27" s="287">
        <v>7.1</v>
      </c>
      <c r="H27" s="486">
        <v>0.17</v>
      </c>
      <c r="I27" s="486">
        <v>0.3</v>
      </c>
      <c r="J27" s="487">
        <v>26.9</v>
      </c>
      <c r="K27" s="287">
        <v>26.3</v>
      </c>
      <c r="L27" s="288">
        <v>7.04</v>
      </c>
      <c r="M27" s="287">
        <v>144.1</v>
      </c>
      <c r="N27" s="296">
        <v>2.08</v>
      </c>
      <c r="O27" s="297"/>
      <c r="V27" s="293" t="s">
        <v>278</v>
      </c>
      <c r="W27" s="294">
        <f>$T$6</f>
        <v>5.600000000000008</v>
      </c>
      <c r="X27" s="294">
        <f>$U$6</f>
        <v>5.620000000000008</v>
      </c>
      <c r="Y27" s="295">
        <f>X27-W27</f>
        <v>0.020000000000000462</v>
      </c>
      <c r="AJ27" s="505"/>
      <c r="AK27" s="349"/>
      <c r="AL27" s="303"/>
      <c r="AM27" s="303"/>
      <c r="AN27" s="303"/>
      <c r="AO27" s="303"/>
      <c r="AP27" s="494"/>
      <c r="AQ27" s="303"/>
      <c r="AR27" s="303"/>
      <c r="AS27" s="303"/>
      <c r="AT27" s="303"/>
      <c r="AU27" s="303"/>
      <c r="AV27" s="303"/>
      <c r="AW27" s="303"/>
      <c r="AX27" s="303"/>
      <c r="AY27" s="503"/>
    </row>
    <row r="28" spans="1:51" ht="12">
      <c r="A28" s="275">
        <v>26</v>
      </c>
      <c r="B28" s="296">
        <v>2.1</v>
      </c>
      <c r="C28" s="484">
        <v>1421</v>
      </c>
      <c r="D28" s="275">
        <v>1387</v>
      </c>
      <c r="E28" s="275">
        <v>1373</v>
      </c>
      <c r="F28" s="485">
        <v>7.2</v>
      </c>
      <c r="G28" s="287">
        <v>7.1</v>
      </c>
      <c r="H28" s="486">
        <v>0.161</v>
      </c>
      <c r="I28" s="486">
        <v>0.298</v>
      </c>
      <c r="J28" s="487">
        <v>27</v>
      </c>
      <c r="K28" s="287">
        <v>26.3</v>
      </c>
      <c r="L28" s="288">
        <v>7</v>
      </c>
      <c r="M28" s="287">
        <v>142.9</v>
      </c>
      <c r="N28" s="296">
        <v>2.1</v>
      </c>
      <c r="O28" s="297"/>
      <c r="P28" s="746">
        <f>'Ballast &amp; Consumb'!C158</f>
        <v>5.61</v>
      </c>
      <c r="V28" s="301" t="s">
        <v>52</v>
      </c>
      <c r="W28" s="321">
        <f>VLOOKUP(W27,$B$2:$G$240,6,FALSE)</f>
        <v>8.3</v>
      </c>
      <c r="X28" s="321">
        <f>VLOOKUP(X27,$B$2:$G$240,6,FALSE)</f>
        <v>8.3</v>
      </c>
      <c r="Y28" s="295">
        <f>X28-W28</f>
        <v>0</v>
      </c>
      <c r="AJ28" s="502"/>
      <c r="AK28" s="303"/>
      <c r="AL28" s="303"/>
      <c r="AM28" s="350"/>
      <c r="AN28" s="348"/>
      <c r="AO28" s="348"/>
      <c r="AP28" s="349"/>
      <c r="AQ28" s="303"/>
      <c r="AR28" s="303"/>
      <c r="AS28" s="303"/>
      <c r="AT28" s="303"/>
      <c r="AU28" s="303"/>
      <c r="AV28" s="303"/>
      <c r="AW28" s="303"/>
      <c r="AX28" s="303"/>
      <c r="AY28" s="503"/>
    </row>
    <row r="29" spans="1:51" ht="12">
      <c r="A29" s="275">
        <v>27</v>
      </c>
      <c r="B29" s="296">
        <v>2.12</v>
      </c>
      <c r="C29" s="484">
        <v>1436</v>
      </c>
      <c r="D29" s="275">
        <v>1401</v>
      </c>
      <c r="E29" s="275">
        <v>1388</v>
      </c>
      <c r="F29" s="485">
        <v>7.3</v>
      </c>
      <c r="G29" s="287">
        <v>7.1</v>
      </c>
      <c r="H29" s="486">
        <v>0.151</v>
      </c>
      <c r="I29" s="486">
        <v>0.295</v>
      </c>
      <c r="J29" s="487">
        <v>27</v>
      </c>
      <c r="K29" s="287">
        <v>26.4</v>
      </c>
      <c r="L29" s="288">
        <v>6.96</v>
      </c>
      <c r="M29" s="287">
        <v>141.8</v>
      </c>
      <c r="N29" s="296">
        <v>2.12</v>
      </c>
      <c r="O29" s="297"/>
      <c r="P29" s="484">
        <f>VLOOKUP(P28,B2:D119,2,TRUE)</f>
        <v>2794</v>
      </c>
      <c r="V29" s="301"/>
      <c r="W29" s="303"/>
      <c r="X29" s="303"/>
      <c r="Y29" s="295"/>
      <c r="AJ29" s="502"/>
      <c r="AK29" s="303"/>
      <c r="AL29" s="303"/>
      <c r="AM29" s="350"/>
      <c r="AN29" s="351"/>
      <c r="AO29" s="351"/>
      <c r="AP29" s="349"/>
      <c r="AQ29" s="303"/>
      <c r="AR29" s="303"/>
      <c r="AS29" s="303"/>
      <c r="AT29" s="303"/>
      <c r="AU29" s="303"/>
      <c r="AV29" s="303"/>
      <c r="AW29" s="303"/>
      <c r="AX29" s="303"/>
      <c r="AY29" s="503"/>
    </row>
    <row r="30" spans="1:51" ht="12">
      <c r="A30" s="275">
        <v>28</v>
      </c>
      <c r="B30" s="296">
        <v>2.14</v>
      </c>
      <c r="C30" s="484">
        <v>1450</v>
      </c>
      <c r="D30" s="275">
        <v>1415</v>
      </c>
      <c r="E30" s="275">
        <v>1402</v>
      </c>
      <c r="F30" s="485">
        <v>7.3</v>
      </c>
      <c r="G30" s="287">
        <v>7.1</v>
      </c>
      <c r="H30" s="486">
        <v>0.142</v>
      </c>
      <c r="I30" s="486">
        <v>0.293</v>
      </c>
      <c r="J30" s="487">
        <v>27.1</v>
      </c>
      <c r="K30" s="287">
        <v>26.4</v>
      </c>
      <c r="L30" s="288">
        <v>6.92</v>
      </c>
      <c r="M30" s="287">
        <v>140.6</v>
      </c>
      <c r="N30" s="296">
        <v>2.14</v>
      </c>
      <c r="O30" s="297"/>
      <c r="V30" s="308"/>
      <c r="W30" s="309">
        <f>$S$3</f>
        <v>5.615109411764713</v>
      </c>
      <c r="X30" s="303">
        <f>W30-W27</f>
        <v>0.015109411764705705</v>
      </c>
      <c r="Y30" s="295" t="e">
        <f>Y27/Y28</f>
        <v>#DIV/0!</v>
      </c>
      <c r="AJ30" s="502"/>
      <c r="AK30" s="303"/>
      <c r="AL30" s="303"/>
      <c r="AM30" s="350"/>
      <c r="AN30" s="349"/>
      <c r="AO30" s="349"/>
      <c r="AP30" s="349"/>
      <c r="AQ30" s="303"/>
      <c r="AR30" s="303"/>
      <c r="AS30" s="303"/>
      <c r="AT30" s="303"/>
      <c r="AU30" s="303"/>
      <c r="AV30" s="303"/>
      <c r="AW30" s="303"/>
      <c r="AX30" s="303"/>
      <c r="AY30" s="503"/>
    </row>
    <row r="31" spans="1:51" ht="12.75" thickBot="1">
      <c r="A31" s="275">
        <v>29</v>
      </c>
      <c r="B31" s="296">
        <v>2.16</v>
      </c>
      <c r="C31" s="484">
        <v>1465</v>
      </c>
      <c r="D31" s="275">
        <v>1429</v>
      </c>
      <c r="E31" s="275">
        <v>1416</v>
      </c>
      <c r="F31" s="485">
        <v>7.3</v>
      </c>
      <c r="G31" s="287">
        <v>7.1</v>
      </c>
      <c r="H31" s="486">
        <v>0.132</v>
      </c>
      <c r="I31" s="486">
        <v>0.29</v>
      </c>
      <c r="J31" s="487">
        <v>27.1</v>
      </c>
      <c r="K31" s="287">
        <v>26.5</v>
      </c>
      <c r="L31" s="288">
        <v>6.88</v>
      </c>
      <c r="M31" s="287">
        <v>139.5</v>
      </c>
      <c r="N31" s="296">
        <v>2.16</v>
      </c>
      <c r="O31" s="297"/>
      <c r="V31" s="311" t="s">
        <v>321</v>
      </c>
      <c r="W31" s="319">
        <f>IF(W28=X28,W28,W28+X30/Y30)</f>
        <v>8.3</v>
      </c>
      <c r="X31" s="310"/>
      <c r="Y31" s="313"/>
      <c r="AJ31" s="514"/>
      <c r="AK31" s="506"/>
      <c r="AL31" s="506"/>
      <c r="AM31" s="507"/>
      <c r="AN31" s="508"/>
      <c r="AO31" s="507"/>
      <c r="AP31" s="507"/>
      <c r="AQ31" s="506"/>
      <c r="AR31" s="506"/>
      <c r="AS31" s="506"/>
      <c r="AT31" s="506"/>
      <c r="AU31" s="506"/>
      <c r="AV31" s="506"/>
      <c r="AW31" s="506"/>
      <c r="AX31" s="506"/>
      <c r="AY31" s="509"/>
    </row>
    <row r="32" spans="1:42" ht="12.75" thickBot="1">
      <c r="A32" s="275">
        <v>30</v>
      </c>
      <c r="B32" s="296">
        <v>2.18</v>
      </c>
      <c r="C32" s="484">
        <v>1480</v>
      </c>
      <c r="D32" s="275">
        <v>1443</v>
      </c>
      <c r="E32" s="275">
        <v>1430</v>
      </c>
      <c r="F32" s="485">
        <v>7.3</v>
      </c>
      <c r="G32" s="287">
        <v>7.1</v>
      </c>
      <c r="H32" s="486">
        <v>0.123</v>
      </c>
      <c r="I32" s="486">
        <v>0.288</v>
      </c>
      <c r="J32" s="487">
        <v>27.2</v>
      </c>
      <c r="K32" s="287">
        <v>26.5</v>
      </c>
      <c r="L32" s="288">
        <v>6.84</v>
      </c>
      <c r="M32" s="287">
        <v>138.4</v>
      </c>
      <c r="N32" s="296">
        <v>2.18</v>
      </c>
      <c r="O32" s="297"/>
      <c r="P32" s="820" t="s">
        <v>544</v>
      </c>
      <c r="Y32" s="315"/>
      <c r="AM32" s="352"/>
      <c r="AN32" s="348"/>
      <c r="AO32" s="349"/>
      <c r="AP32" s="349"/>
    </row>
    <row r="33" spans="1:25" ht="12.75" thickTop="1">
      <c r="A33" s="275">
        <v>31</v>
      </c>
      <c r="B33" s="296">
        <v>2.2</v>
      </c>
      <c r="C33" s="484">
        <v>1494</v>
      </c>
      <c r="D33" s="275">
        <v>1458</v>
      </c>
      <c r="E33" s="275">
        <v>1444</v>
      </c>
      <c r="F33" s="485">
        <v>7.3</v>
      </c>
      <c r="G33" s="287">
        <v>7.1</v>
      </c>
      <c r="H33" s="486">
        <v>0.114</v>
      </c>
      <c r="I33" s="486">
        <v>0.286</v>
      </c>
      <c r="J33" s="487">
        <v>27.2</v>
      </c>
      <c r="K33" s="287">
        <v>26.6</v>
      </c>
      <c r="L33" s="288">
        <v>6.8</v>
      </c>
      <c r="M33" s="287">
        <v>137.3</v>
      </c>
      <c r="N33" s="296">
        <v>2.2</v>
      </c>
      <c r="O33" s="297"/>
      <c r="P33" s="459"/>
      <c r="Q33" s="355"/>
      <c r="R33" s="355"/>
      <c r="S33" s="356"/>
      <c r="V33" s="293" t="s">
        <v>278</v>
      </c>
      <c r="W33" s="294">
        <f>$T$6</f>
        <v>5.600000000000008</v>
      </c>
      <c r="X33" s="294">
        <f>$U$6</f>
        <v>5.620000000000008</v>
      </c>
      <c r="Y33" s="295">
        <f>X33-W33</f>
        <v>0.020000000000000462</v>
      </c>
    </row>
    <row r="34" spans="1:25" ht="12">
      <c r="A34" s="275">
        <v>32</v>
      </c>
      <c r="B34" s="296">
        <v>2.22</v>
      </c>
      <c r="C34" s="484">
        <v>1509</v>
      </c>
      <c r="D34" s="275">
        <v>1472</v>
      </c>
      <c r="E34" s="275">
        <v>1458</v>
      </c>
      <c r="F34" s="485">
        <v>7.3</v>
      </c>
      <c r="G34" s="287">
        <v>7.1</v>
      </c>
      <c r="H34" s="486">
        <v>0.104</v>
      </c>
      <c r="I34" s="486">
        <v>0.284</v>
      </c>
      <c r="J34" s="487">
        <v>27.3</v>
      </c>
      <c r="K34" s="287">
        <v>26.6</v>
      </c>
      <c r="L34" s="288">
        <v>6.76</v>
      </c>
      <c r="M34" s="287">
        <v>136.3</v>
      </c>
      <c r="N34" s="296">
        <v>2.22</v>
      </c>
      <c r="O34" s="297"/>
      <c r="P34" s="357">
        <f>wk2!C58</f>
        <v>2.5044428772919605</v>
      </c>
      <c r="Q34" s="291" t="s">
        <v>278</v>
      </c>
      <c r="R34" s="292" t="s">
        <v>278</v>
      </c>
      <c r="S34" s="813"/>
      <c r="V34" s="301" t="s">
        <v>32</v>
      </c>
      <c r="W34" s="306">
        <f>VLOOKUP(W33,$B$2:$H$240,7,FALSE)</f>
        <v>-1.861</v>
      </c>
      <c r="X34" s="306">
        <f>VLOOKUP(X33,$B$2:$H$240,7,FALSE)</f>
        <v>-1.871</v>
      </c>
      <c r="Y34" s="295">
        <f>X34-W34</f>
        <v>-0.010000000000000009</v>
      </c>
    </row>
    <row r="35" spans="1:25" ht="12">
      <c r="A35" s="275">
        <v>33</v>
      </c>
      <c r="B35" s="296">
        <v>2.24</v>
      </c>
      <c r="C35" s="484">
        <v>1523</v>
      </c>
      <c r="D35" s="275">
        <v>1486</v>
      </c>
      <c r="E35" s="275">
        <v>1472</v>
      </c>
      <c r="F35" s="485">
        <v>7.3</v>
      </c>
      <c r="G35" s="287">
        <v>7.1</v>
      </c>
      <c r="H35" s="486">
        <v>0.095</v>
      </c>
      <c r="I35" s="486">
        <v>0.281</v>
      </c>
      <c r="J35" s="487">
        <v>27.3</v>
      </c>
      <c r="K35" s="287">
        <v>26.7</v>
      </c>
      <c r="L35" s="288">
        <v>6.73</v>
      </c>
      <c r="M35" s="287">
        <v>135.2</v>
      </c>
      <c r="N35" s="296">
        <v>2.24</v>
      </c>
      <c r="O35" s="297"/>
      <c r="P35" s="359"/>
      <c r="Q35" s="488" t="str">
        <f>CONCATENATE("&lt;","=",P34)</f>
        <v>&lt;=2,50444287729196</v>
      </c>
      <c r="R35" s="489" t="str">
        <f>CONCATENATE("&gt;","=",P34)</f>
        <v>&gt;=2,50444287729196</v>
      </c>
      <c r="S35" s="813"/>
      <c r="V35" s="301"/>
      <c r="W35" s="303"/>
      <c r="X35" s="303"/>
      <c r="Y35" s="295"/>
    </row>
    <row r="36" spans="1:25" ht="12">
      <c r="A36" s="275">
        <v>34</v>
      </c>
      <c r="B36" s="296">
        <v>2.26</v>
      </c>
      <c r="C36" s="484">
        <v>1538</v>
      </c>
      <c r="D36" s="275">
        <v>1500</v>
      </c>
      <c r="E36" s="275">
        <v>1487</v>
      </c>
      <c r="F36" s="485">
        <v>7.3</v>
      </c>
      <c r="G36" s="287">
        <v>7.1</v>
      </c>
      <c r="H36" s="486">
        <v>0.085</v>
      </c>
      <c r="I36" s="486">
        <v>0.279</v>
      </c>
      <c r="J36" s="487">
        <v>27.4</v>
      </c>
      <c r="K36" s="287">
        <v>26.7</v>
      </c>
      <c r="L36" s="288">
        <v>6.69</v>
      </c>
      <c r="M36" s="287">
        <v>134.2</v>
      </c>
      <c r="N36" s="296">
        <v>2.26</v>
      </c>
      <c r="O36" s="297"/>
      <c r="P36" s="360"/>
      <c r="Q36" s="346"/>
      <c r="R36" s="346"/>
      <c r="S36" s="813"/>
      <c r="V36" s="308"/>
      <c r="W36" s="309">
        <f>$S$3</f>
        <v>5.615109411764713</v>
      </c>
      <c r="X36" s="303">
        <f>W36-W33</f>
        <v>0.015109411764705705</v>
      </c>
      <c r="Y36" s="295">
        <f>Y33/Y34</f>
        <v>-2.0000000000000444</v>
      </c>
    </row>
    <row r="37" spans="1:25" ht="12.75" thickBot="1">
      <c r="A37" s="275">
        <v>35</v>
      </c>
      <c r="B37" s="296">
        <v>2.28</v>
      </c>
      <c r="C37" s="484">
        <v>1553</v>
      </c>
      <c r="D37" s="275">
        <v>1515</v>
      </c>
      <c r="E37" s="275">
        <v>1501</v>
      </c>
      <c r="F37" s="485">
        <v>7.3</v>
      </c>
      <c r="G37" s="287">
        <v>7.1</v>
      </c>
      <c r="H37" s="485">
        <v>0.075</v>
      </c>
      <c r="I37" s="486">
        <v>0.276</v>
      </c>
      <c r="J37" s="487">
        <v>27.5</v>
      </c>
      <c r="K37" s="287">
        <v>26.8</v>
      </c>
      <c r="L37" s="288">
        <v>6.66</v>
      </c>
      <c r="M37" s="287">
        <v>133.2</v>
      </c>
      <c r="N37" s="296">
        <v>2.28</v>
      </c>
      <c r="O37" s="297"/>
      <c r="P37" s="361" t="s">
        <v>278</v>
      </c>
      <c r="Q37" s="306">
        <f>DMAX($B$2:$N$240,B2,Q34:Q35)</f>
        <v>2.5</v>
      </c>
      <c r="R37" s="306">
        <f>DMIN($B$2:$N$240,B2,R34:R35)</f>
        <v>2.52</v>
      </c>
      <c r="S37" s="813"/>
      <c r="V37" s="311" t="s">
        <v>32</v>
      </c>
      <c r="W37" s="322">
        <f>IF(W34=X34,W34,W34+X36/Y36)</f>
        <v>-1.8685547058823526</v>
      </c>
      <c r="X37" s="310"/>
      <c r="Y37" s="313"/>
    </row>
    <row r="38" spans="1:25" ht="12.75" thickBot="1">
      <c r="A38" s="275">
        <v>36</v>
      </c>
      <c r="B38" s="296">
        <v>2.3</v>
      </c>
      <c r="C38" s="484">
        <v>1567</v>
      </c>
      <c r="D38" s="275">
        <v>1529</v>
      </c>
      <c r="E38" s="275">
        <v>1515</v>
      </c>
      <c r="F38" s="485">
        <v>7.3</v>
      </c>
      <c r="G38" s="287">
        <v>7.1</v>
      </c>
      <c r="H38" s="485">
        <v>0.066</v>
      </c>
      <c r="I38" s="486">
        <v>0.273</v>
      </c>
      <c r="J38" s="487">
        <v>27.5</v>
      </c>
      <c r="K38" s="287">
        <v>26.8</v>
      </c>
      <c r="L38" s="288">
        <v>6.62</v>
      </c>
      <c r="M38" s="287">
        <v>132.2</v>
      </c>
      <c r="N38" s="296">
        <v>2.3</v>
      </c>
      <c r="O38" s="297"/>
      <c r="P38" s="814"/>
      <c r="Q38" s="815"/>
      <c r="R38" s="318"/>
      <c r="S38" s="816"/>
      <c r="Y38" s="315"/>
    </row>
    <row r="39" spans="1:25" ht="12">
      <c r="A39" s="275">
        <v>37</v>
      </c>
      <c r="B39" s="296">
        <v>2.32</v>
      </c>
      <c r="C39" s="484">
        <v>1582</v>
      </c>
      <c r="D39" s="275">
        <v>1543</v>
      </c>
      <c r="E39" s="275">
        <v>1529</v>
      </c>
      <c r="F39" s="485">
        <v>7.3</v>
      </c>
      <c r="G39" s="287">
        <v>7.1</v>
      </c>
      <c r="H39" s="486">
        <v>0.056</v>
      </c>
      <c r="I39" s="486">
        <v>0.271</v>
      </c>
      <c r="J39" s="487">
        <v>27.6</v>
      </c>
      <c r="K39" s="287">
        <v>26.9</v>
      </c>
      <c r="L39" s="288">
        <v>6.59</v>
      </c>
      <c r="M39" s="287">
        <v>131.3</v>
      </c>
      <c r="N39" s="296">
        <v>2.32</v>
      </c>
      <c r="O39" s="297"/>
      <c r="P39" s="817" t="s">
        <v>278</v>
      </c>
      <c r="Q39" s="294">
        <f>Q37</f>
        <v>2.5</v>
      </c>
      <c r="R39" s="294">
        <f>R37</f>
        <v>2.52</v>
      </c>
      <c r="S39" s="358">
        <f>R39-Q39</f>
        <v>0.020000000000000018</v>
      </c>
      <c r="V39" s="293" t="s">
        <v>278</v>
      </c>
      <c r="W39" s="294">
        <f>$T$6</f>
        <v>5.600000000000008</v>
      </c>
      <c r="X39" s="294">
        <f>$U$6</f>
        <v>5.620000000000008</v>
      </c>
      <c r="Y39" s="295">
        <f>X39-W39</f>
        <v>0.020000000000000462</v>
      </c>
    </row>
    <row r="40" spans="1:25" ht="12">
      <c r="A40" s="275">
        <v>38</v>
      </c>
      <c r="B40" s="296">
        <v>2.34</v>
      </c>
      <c r="C40" s="484">
        <v>1597</v>
      </c>
      <c r="D40" s="275">
        <v>1558</v>
      </c>
      <c r="E40" s="275">
        <v>1544</v>
      </c>
      <c r="F40" s="485">
        <v>7.3</v>
      </c>
      <c r="G40" s="287">
        <v>7.1</v>
      </c>
      <c r="H40" s="486">
        <v>0.046</v>
      </c>
      <c r="I40" s="486">
        <v>0.267</v>
      </c>
      <c r="J40" s="487">
        <v>27.6</v>
      </c>
      <c r="K40" s="287">
        <v>26.9</v>
      </c>
      <c r="L40" s="288">
        <v>6.56</v>
      </c>
      <c r="M40" s="287">
        <v>130.3</v>
      </c>
      <c r="N40" s="296">
        <v>2.34</v>
      </c>
      <c r="O40" s="297"/>
      <c r="P40" s="360" t="s">
        <v>165</v>
      </c>
      <c r="Q40" s="302">
        <f>VLOOKUP(Q39,$B$2:$N$240,2,FALSE)</f>
        <v>1714</v>
      </c>
      <c r="R40" s="302">
        <f>VLOOKUP(R39,$B$2:$N$240,2,FALSE)</f>
        <v>1729</v>
      </c>
      <c r="S40" s="358">
        <f>R40-Q40</f>
        <v>15</v>
      </c>
      <c r="V40" s="301" t="s">
        <v>31</v>
      </c>
      <c r="W40" s="306">
        <f>VLOOKUP(W39,$B$2:$I$240,8,FALSE)</f>
        <v>-0.476</v>
      </c>
      <c r="X40" s="306">
        <f>VLOOKUP(X39,$B$2:$I$240,8,FALSE)</f>
        <v>-0.481</v>
      </c>
      <c r="Y40" s="295">
        <f>X40-W40</f>
        <v>-0.0050000000000000044</v>
      </c>
    </row>
    <row r="41" spans="1:25" ht="12">
      <c r="A41" s="275">
        <v>39</v>
      </c>
      <c r="B41" s="296">
        <v>2.36</v>
      </c>
      <c r="C41" s="484">
        <v>1611</v>
      </c>
      <c r="D41" s="275">
        <v>1572</v>
      </c>
      <c r="E41" s="275">
        <v>1558</v>
      </c>
      <c r="F41" s="485">
        <v>7.3</v>
      </c>
      <c r="G41" s="287">
        <v>7.1</v>
      </c>
      <c r="H41" s="486">
        <v>0.035</v>
      </c>
      <c r="I41" s="486">
        <v>0.264</v>
      </c>
      <c r="J41" s="487">
        <v>27.7</v>
      </c>
      <c r="K41" s="287">
        <v>27</v>
      </c>
      <c r="L41" s="288">
        <v>6.53</v>
      </c>
      <c r="M41" s="287">
        <v>129.4</v>
      </c>
      <c r="N41" s="296">
        <v>2.36</v>
      </c>
      <c r="O41" s="297"/>
      <c r="P41" s="360"/>
      <c r="Q41" s="303"/>
      <c r="R41" s="303"/>
      <c r="S41" s="358"/>
      <c r="V41" s="301"/>
      <c r="W41" s="303"/>
      <c r="X41" s="303"/>
      <c r="Y41" s="295"/>
    </row>
    <row r="42" spans="1:25" ht="12">
      <c r="A42" s="275">
        <v>40</v>
      </c>
      <c r="B42" s="296">
        <v>2.38</v>
      </c>
      <c r="C42" s="484">
        <v>1626</v>
      </c>
      <c r="D42" s="275">
        <v>1586</v>
      </c>
      <c r="E42" s="275">
        <v>1572</v>
      </c>
      <c r="F42" s="485">
        <v>7.3</v>
      </c>
      <c r="G42" s="287">
        <v>7.2</v>
      </c>
      <c r="H42" s="486">
        <v>0.025</v>
      </c>
      <c r="I42" s="486">
        <v>0.262</v>
      </c>
      <c r="J42" s="487">
        <v>27.7</v>
      </c>
      <c r="K42" s="287">
        <v>27</v>
      </c>
      <c r="L42" s="288">
        <v>6.5</v>
      </c>
      <c r="M42" s="287">
        <v>128.5</v>
      </c>
      <c r="N42" s="296">
        <v>2.38</v>
      </c>
      <c r="O42" s="297"/>
      <c r="P42" s="361"/>
      <c r="Q42" s="309">
        <f>P34</f>
        <v>2.5044428772919605</v>
      </c>
      <c r="R42" s="303">
        <f>Q42-Q39</f>
        <v>0.0044428772919604675</v>
      </c>
      <c r="S42" s="358">
        <f>S39/S40</f>
        <v>0.0013333333333333346</v>
      </c>
      <c r="V42" s="308"/>
      <c r="W42" s="309">
        <f>$S$3</f>
        <v>5.615109411764713</v>
      </c>
      <c r="X42" s="303">
        <f>W42-W39</f>
        <v>0.015109411764705705</v>
      </c>
      <c r="Y42" s="295">
        <f>Y39/Y40</f>
        <v>-4.000000000000089</v>
      </c>
    </row>
    <row r="43" spans="1:25" ht="12.75" thickBot="1">
      <c r="A43" s="275">
        <v>41</v>
      </c>
      <c r="B43" s="296">
        <v>2.4</v>
      </c>
      <c r="C43" s="484">
        <v>1641</v>
      </c>
      <c r="D43" s="275">
        <v>1601</v>
      </c>
      <c r="E43" s="275">
        <v>1586</v>
      </c>
      <c r="F43" s="485">
        <v>7.3</v>
      </c>
      <c r="G43" s="287">
        <v>7.2</v>
      </c>
      <c r="H43" s="486">
        <v>0.015</v>
      </c>
      <c r="I43" s="486">
        <v>0.259</v>
      </c>
      <c r="J43" s="487">
        <v>27.8</v>
      </c>
      <c r="K43" s="287">
        <v>27.1</v>
      </c>
      <c r="L43" s="288">
        <v>6.46</v>
      </c>
      <c r="M43" s="287">
        <v>127.6</v>
      </c>
      <c r="N43" s="296">
        <v>2.4</v>
      </c>
      <c r="O43" s="297"/>
      <c r="P43" s="818" t="s">
        <v>317</v>
      </c>
      <c r="Q43" s="312">
        <f>IF(Q40=R40,Q40,Q40+R42/S42)</f>
        <v>1717.3321579689703</v>
      </c>
      <c r="R43" s="310"/>
      <c r="S43" s="362"/>
      <c r="V43" s="311" t="s">
        <v>31</v>
      </c>
      <c r="W43" s="322">
        <f>IF(W40=X40,W40,W40+X42/Y42)</f>
        <v>-0.4797773529411763</v>
      </c>
      <c r="X43" s="310"/>
      <c r="Y43" s="313"/>
    </row>
    <row r="44" spans="1:25" ht="12.75" thickBot="1">
      <c r="A44" s="275">
        <v>42</v>
      </c>
      <c r="B44" s="296">
        <v>2.42</v>
      </c>
      <c r="C44" s="484">
        <v>1655</v>
      </c>
      <c r="D44" s="275">
        <v>1615</v>
      </c>
      <c r="E44" s="275">
        <v>1601</v>
      </c>
      <c r="F44" s="485">
        <v>7.3</v>
      </c>
      <c r="G44" s="287">
        <v>7.2</v>
      </c>
      <c r="H44" s="486">
        <v>0.005</v>
      </c>
      <c r="I44" s="486">
        <v>0.256</v>
      </c>
      <c r="J44" s="487">
        <v>27.8</v>
      </c>
      <c r="K44" s="287">
        <v>27.1</v>
      </c>
      <c r="L44" s="288">
        <v>6.44</v>
      </c>
      <c r="M44" s="287">
        <v>126.7</v>
      </c>
      <c r="N44" s="296">
        <v>2.42</v>
      </c>
      <c r="O44" s="297"/>
      <c r="P44" s="814"/>
      <c r="Q44" s="815"/>
      <c r="R44" s="318"/>
      <c r="S44" s="813"/>
      <c r="Y44" s="315"/>
    </row>
    <row r="45" spans="1:25" ht="12">
      <c r="A45" s="275">
        <v>43</v>
      </c>
      <c r="B45" s="296">
        <v>2.44</v>
      </c>
      <c r="C45" s="484">
        <v>1670</v>
      </c>
      <c r="D45" s="275">
        <v>1629</v>
      </c>
      <c r="E45" s="275">
        <v>1615</v>
      </c>
      <c r="F45" s="485">
        <v>7.3</v>
      </c>
      <c r="G45" s="287">
        <v>7.2</v>
      </c>
      <c r="H45" s="486">
        <v>-0.005</v>
      </c>
      <c r="I45" s="486">
        <v>0.253</v>
      </c>
      <c r="J45" s="487">
        <v>27.9</v>
      </c>
      <c r="K45" s="287">
        <v>27.2</v>
      </c>
      <c r="L45" s="288">
        <v>6.41</v>
      </c>
      <c r="M45" s="287">
        <v>125.9</v>
      </c>
      <c r="N45" s="296">
        <v>2.44</v>
      </c>
      <c r="O45" s="297"/>
      <c r="P45" s="817" t="s">
        <v>278</v>
      </c>
      <c r="Q45" s="294">
        <f>Q37</f>
        <v>2.5</v>
      </c>
      <c r="R45" s="294">
        <f>R37</f>
        <v>2.52</v>
      </c>
      <c r="S45" s="358">
        <f>R45-Q45</f>
        <v>0.020000000000000018</v>
      </c>
      <c r="V45" s="293" t="s">
        <v>278</v>
      </c>
      <c r="W45" s="294">
        <f>$T$6</f>
        <v>5.600000000000008</v>
      </c>
      <c r="X45" s="294">
        <f>$U$6</f>
        <v>5.620000000000008</v>
      </c>
      <c r="Y45" s="295">
        <f>X45-W45</f>
        <v>0.020000000000000462</v>
      </c>
    </row>
    <row r="46" spans="1:25" ht="12">
      <c r="A46" s="275">
        <v>44</v>
      </c>
      <c r="B46" s="296">
        <v>2.46</v>
      </c>
      <c r="C46" s="484">
        <v>1685</v>
      </c>
      <c r="D46" s="275">
        <v>1644</v>
      </c>
      <c r="E46" s="275">
        <v>1629</v>
      </c>
      <c r="F46" s="485">
        <v>7.4</v>
      </c>
      <c r="G46" s="287">
        <v>7.2</v>
      </c>
      <c r="H46" s="486">
        <v>-0.015</v>
      </c>
      <c r="I46" s="486">
        <v>0.25</v>
      </c>
      <c r="J46" s="487">
        <v>27.9</v>
      </c>
      <c r="K46" s="287">
        <v>27.2</v>
      </c>
      <c r="L46" s="288">
        <v>6.38</v>
      </c>
      <c r="M46" s="287">
        <v>125</v>
      </c>
      <c r="N46" s="296">
        <v>2.46</v>
      </c>
      <c r="O46" s="297"/>
      <c r="P46" s="360" t="s">
        <v>341</v>
      </c>
      <c r="Q46" s="321">
        <f>VLOOKUP(Q45,$B$2:$N$240,5,FALSE)</f>
        <v>7.4</v>
      </c>
      <c r="R46" s="321">
        <f>VLOOKUP(R45,$B$2:$N$240,5,FALSE)</f>
        <v>7.4</v>
      </c>
      <c r="S46" s="358">
        <f>R46-Q46</f>
        <v>0</v>
      </c>
      <c r="V46" s="301"/>
      <c r="W46" s="321">
        <f>VLOOKUP(W45,$B$2:$J$240,9,FALSE)</f>
        <v>41.1</v>
      </c>
      <c r="X46" s="321">
        <f>VLOOKUP(X45,$B$2:$J$240,9,FALSE)</f>
        <v>41.2</v>
      </c>
      <c r="Y46" s="295">
        <f>X46-W46</f>
        <v>0.10000000000000142</v>
      </c>
    </row>
    <row r="47" spans="1:25" ht="12">
      <c r="A47" s="275">
        <v>45</v>
      </c>
      <c r="B47" s="296">
        <v>2.48</v>
      </c>
      <c r="C47" s="484">
        <v>1699</v>
      </c>
      <c r="D47" s="275">
        <v>1658</v>
      </c>
      <c r="E47" s="275">
        <v>1644</v>
      </c>
      <c r="F47" s="485">
        <v>7.4</v>
      </c>
      <c r="G47" s="287">
        <v>7.2</v>
      </c>
      <c r="H47" s="486">
        <v>-0.025</v>
      </c>
      <c r="I47" s="486">
        <v>0.248</v>
      </c>
      <c r="J47" s="487">
        <v>28</v>
      </c>
      <c r="K47" s="287">
        <v>27.3</v>
      </c>
      <c r="L47" s="288">
        <v>6.35</v>
      </c>
      <c r="M47" s="287">
        <v>124.2</v>
      </c>
      <c r="N47" s="296">
        <v>2.48</v>
      </c>
      <c r="O47" s="297"/>
      <c r="P47" s="360"/>
      <c r="Q47" s="303"/>
      <c r="R47" s="303"/>
      <c r="S47" s="358"/>
      <c r="V47" s="301"/>
      <c r="W47" s="303"/>
      <c r="X47" s="303"/>
      <c r="Y47" s="295"/>
    </row>
    <row r="48" spans="1:25" ht="12">
      <c r="A48" s="275">
        <v>46</v>
      </c>
      <c r="B48" s="296">
        <v>2.5</v>
      </c>
      <c r="C48" s="484">
        <v>1714</v>
      </c>
      <c r="D48" s="275">
        <v>1672</v>
      </c>
      <c r="E48" s="275">
        <v>1658</v>
      </c>
      <c r="F48" s="485">
        <v>7.4</v>
      </c>
      <c r="G48" s="287">
        <v>7.2</v>
      </c>
      <c r="H48" s="486">
        <v>-0.036</v>
      </c>
      <c r="I48" s="486">
        <v>0.244</v>
      </c>
      <c r="J48" s="487">
        <v>28</v>
      </c>
      <c r="K48" s="287">
        <v>27.4</v>
      </c>
      <c r="L48" s="288">
        <v>6.32</v>
      </c>
      <c r="M48" s="287">
        <v>123.4</v>
      </c>
      <c r="N48" s="296">
        <v>2.5</v>
      </c>
      <c r="O48" s="297"/>
      <c r="P48" s="361"/>
      <c r="Q48" s="309">
        <f>P34</f>
        <v>2.5044428772919605</v>
      </c>
      <c r="R48" s="303">
        <f>Q48-Q45</f>
        <v>0.0044428772919604675</v>
      </c>
      <c r="S48" s="358" t="e">
        <f>S45/S46</f>
        <v>#DIV/0!</v>
      </c>
      <c r="V48" s="308"/>
      <c r="W48" s="309">
        <f>$S$3</f>
        <v>5.615109411764713</v>
      </c>
      <c r="X48" s="303">
        <f>W48-W45</f>
        <v>0.015109411764705705</v>
      </c>
      <c r="Y48" s="295">
        <f>Y45/Y46</f>
        <v>0.2000000000000018</v>
      </c>
    </row>
    <row r="49" spans="1:25" ht="12.75" thickBot="1">
      <c r="A49" s="275">
        <v>47</v>
      </c>
      <c r="B49" s="296">
        <v>2.52</v>
      </c>
      <c r="C49" s="484">
        <v>1729</v>
      </c>
      <c r="D49" s="275">
        <v>1687</v>
      </c>
      <c r="E49" s="275">
        <v>1672</v>
      </c>
      <c r="F49" s="485">
        <v>7.4</v>
      </c>
      <c r="G49" s="287">
        <v>7.2</v>
      </c>
      <c r="H49" s="486">
        <v>-0.046</v>
      </c>
      <c r="I49" s="486">
        <v>0.241</v>
      </c>
      <c r="J49" s="487">
        <v>28.1</v>
      </c>
      <c r="K49" s="287">
        <v>27.4</v>
      </c>
      <c r="L49" s="288">
        <v>6.3</v>
      </c>
      <c r="M49" s="287">
        <v>122.6</v>
      </c>
      <c r="N49" s="296">
        <v>2.52</v>
      </c>
      <c r="O49" s="297"/>
      <c r="P49" s="818" t="s">
        <v>52</v>
      </c>
      <c r="Q49" s="312">
        <f>IF(Q46=R46,Q46,Q46+R48/S48)</f>
        <v>7.4</v>
      </c>
      <c r="R49" s="310"/>
      <c r="S49" s="362"/>
      <c r="V49" s="323" t="s">
        <v>322</v>
      </c>
      <c r="W49" s="319">
        <f>IF(W46=X46,W46,W46+X48/Y48)</f>
        <v>41.17554705882353</v>
      </c>
      <c r="X49" s="310"/>
      <c r="Y49" s="313"/>
    </row>
    <row r="50" spans="1:25" ht="12.75" thickBot="1">
      <c r="A50" s="275">
        <v>48</v>
      </c>
      <c r="B50" s="296">
        <v>2.54</v>
      </c>
      <c r="C50" s="484">
        <v>1744</v>
      </c>
      <c r="D50" s="275">
        <v>1701</v>
      </c>
      <c r="E50" s="275">
        <v>1687</v>
      </c>
      <c r="F50" s="485">
        <v>7.4</v>
      </c>
      <c r="G50" s="287">
        <v>7.2</v>
      </c>
      <c r="H50" s="486">
        <v>-0.056</v>
      </c>
      <c r="I50" s="486">
        <v>0.238</v>
      </c>
      <c r="J50" s="487">
        <v>28.1</v>
      </c>
      <c r="K50" s="287">
        <v>27.5</v>
      </c>
      <c r="L50" s="288">
        <v>6.27</v>
      </c>
      <c r="M50" s="287">
        <v>121.8</v>
      </c>
      <c r="N50" s="296">
        <v>2.54</v>
      </c>
      <c r="O50" s="297"/>
      <c r="P50" s="814"/>
      <c r="Q50" s="815"/>
      <c r="R50" s="318"/>
      <c r="S50" s="813"/>
      <c r="Y50" s="315"/>
    </row>
    <row r="51" spans="1:42" ht="12">
      <c r="A51" s="275">
        <v>49</v>
      </c>
      <c r="B51" s="296">
        <v>2.56</v>
      </c>
      <c r="C51" s="484">
        <v>1759</v>
      </c>
      <c r="D51" s="275">
        <v>1716</v>
      </c>
      <c r="E51" s="275">
        <v>1701</v>
      </c>
      <c r="F51" s="485">
        <v>7.4</v>
      </c>
      <c r="G51" s="287">
        <v>7.2</v>
      </c>
      <c r="H51" s="486">
        <v>-0.067</v>
      </c>
      <c r="I51" s="486">
        <v>0.235</v>
      </c>
      <c r="J51" s="487">
        <v>28.2</v>
      </c>
      <c r="K51" s="287">
        <v>27.5</v>
      </c>
      <c r="L51" s="288">
        <v>6.25</v>
      </c>
      <c r="M51" s="287">
        <v>121</v>
      </c>
      <c r="N51" s="296">
        <v>2.56</v>
      </c>
      <c r="O51" s="297"/>
      <c r="P51" s="817" t="s">
        <v>278</v>
      </c>
      <c r="Q51" s="294">
        <f>Q45</f>
        <v>2.5</v>
      </c>
      <c r="R51" s="294">
        <f>R45</f>
        <v>2.52</v>
      </c>
      <c r="S51" s="358">
        <f>R51-Q51</f>
        <v>0.020000000000000018</v>
      </c>
      <c r="V51" s="293" t="s">
        <v>278</v>
      </c>
      <c r="W51" s="294">
        <f>$T$6</f>
        <v>5.600000000000008</v>
      </c>
      <c r="X51" s="294">
        <f>$U$6</f>
        <v>5.620000000000008</v>
      </c>
      <c r="Y51" s="295">
        <f>X51-W51</f>
        <v>0.020000000000000462</v>
      </c>
      <c r="AM51" s="349"/>
      <c r="AN51" s="349"/>
      <c r="AO51" s="349"/>
      <c r="AP51" s="349"/>
    </row>
    <row r="52" spans="1:42" ht="12">
      <c r="A52" s="275">
        <v>50</v>
      </c>
      <c r="B52" s="296">
        <v>2.58</v>
      </c>
      <c r="C52" s="484">
        <v>1773</v>
      </c>
      <c r="D52" s="275">
        <v>1730</v>
      </c>
      <c r="E52" s="275">
        <v>1715</v>
      </c>
      <c r="F52" s="485">
        <v>7.4</v>
      </c>
      <c r="G52" s="287">
        <v>7.2</v>
      </c>
      <c r="H52" s="486">
        <v>-0.077</v>
      </c>
      <c r="I52" s="486">
        <v>0.231</v>
      </c>
      <c r="J52" s="487">
        <v>28.3</v>
      </c>
      <c r="K52" s="287">
        <v>27.6</v>
      </c>
      <c r="L52" s="288">
        <v>6.22</v>
      </c>
      <c r="M52" s="287">
        <v>120.2</v>
      </c>
      <c r="N52" s="296">
        <v>2.58</v>
      </c>
      <c r="O52" s="297"/>
      <c r="P52" s="360" t="s">
        <v>342</v>
      </c>
      <c r="Q52" s="306">
        <f>VLOOKUP(Q51,$B$2:$N$240,7,FALSE)</f>
        <v>-0.036</v>
      </c>
      <c r="R52" s="306">
        <f>VLOOKUP(R51,$B$2:$N$240,7,FALSE)</f>
        <v>-0.046</v>
      </c>
      <c r="S52" s="358">
        <f>R52-Q52</f>
        <v>-0.010000000000000002</v>
      </c>
      <c r="V52" s="301"/>
      <c r="W52" s="317">
        <f>VLOOKUP(W51,$B$2:$K$240,10,FALSE)</f>
        <v>40.1</v>
      </c>
      <c r="X52" s="317">
        <f>VLOOKUP(X51,$B$2:$K$240,10,FALSE)</f>
        <v>40.2</v>
      </c>
      <c r="Y52" s="295">
        <f>X52-W52</f>
        <v>0.10000000000000142</v>
      </c>
      <c r="AM52" s="350"/>
      <c r="AN52" s="348"/>
      <c r="AO52" s="348"/>
      <c r="AP52" s="349"/>
    </row>
    <row r="53" spans="1:42" ht="12">
      <c r="A53" s="275">
        <v>51</v>
      </c>
      <c r="B53" s="296">
        <v>2.6</v>
      </c>
      <c r="C53" s="484">
        <v>1788</v>
      </c>
      <c r="D53" s="275">
        <v>1745</v>
      </c>
      <c r="E53" s="275">
        <v>1730</v>
      </c>
      <c r="F53" s="485">
        <v>7.4</v>
      </c>
      <c r="G53" s="287">
        <v>7.2</v>
      </c>
      <c r="H53" s="486">
        <v>-0.087</v>
      </c>
      <c r="I53" s="486">
        <v>0.228</v>
      </c>
      <c r="J53" s="487">
        <v>28.3</v>
      </c>
      <c r="K53" s="287">
        <v>27.6</v>
      </c>
      <c r="L53" s="288">
        <v>6.2</v>
      </c>
      <c r="M53" s="287">
        <v>119.5</v>
      </c>
      <c r="N53" s="296">
        <v>2.6</v>
      </c>
      <c r="O53" s="297"/>
      <c r="P53" s="360"/>
      <c r="Q53" s="303"/>
      <c r="R53" s="303"/>
      <c r="S53" s="358"/>
      <c r="V53" s="301"/>
      <c r="W53" s="303"/>
      <c r="X53" s="303"/>
      <c r="Y53" s="295"/>
      <c r="AM53" s="350"/>
      <c r="AN53" s="348"/>
      <c r="AO53" s="348"/>
      <c r="AP53" s="349"/>
    </row>
    <row r="54" spans="1:42" ht="12">
      <c r="A54" s="275">
        <v>52</v>
      </c>
      <c r="B54" s="296">
        <v>2.62</v>
      </c>
      <c r="C54" s="484">
        <v>1803</v>
      </c>
      <c r="D54" s="275">
        <v>1759</v>
      </c>
      <c r="E54" s="275">
        <v>1744</v>
      </c>
      <c r="F54" s="485">
        <v>7.4</v>
      </c>
      <c r="G54" s="287">
        <v>7.2</v>
      </c>
      <c r="H54" s="486">
        <v>-0.098</v>
      </c>
      <c r="I54" s="486">
        <v>0.224</v>
      </c>
      <c r="J54" s="487">
        <v>28.4</v>
      </c>
      <c r="K54" s="287">
        <v>27.7</v>
      </c>
      <c r="L54" s="288">
        <v>6.28</v>
      </c>
      <c r="M54" s="287">
        <v>118.7</v>
      </c>
      <c r="N54" s="296">
        <v>2.62</v>
      </c>
      <c r="O54" s="297"/>
      <c r="P54" s="361"/>
      <c r="Q54" s="309">
        <f>P34</f>
        <v>2.5044428772919605</v>
      </c>
      <c r="R54" s="303">
        <f>Q54-Q51</f>
        <v>0.0044428772919604675</v>
      </c>
      <c r="S54" s="358">
        <f>S51/S52</f>
        <v>-2.0000000000000013</v>
      </c>
      <c r="V54" s="308"/>
      <c r="W54" s="309">
        <f>$S$3</f>
        <v>5.615109411764713</v>
      </c>
      <c r="X54" s="303">
        <f>W54-W51</f>
        <v>0.015109411764705705</v>
      </c>
      <c r="Y54" s="295">
        <f>Y51/Y52</f>
        <v>0.2000000000000018</v>
      </c>
      <c r="AM54" s="350"/>
      <c r="AN54" s="349"/>
      <c r="AO54" s="349"/>
      <c r="AP54" s="349"/>
    </row>
    <row r="55" spans="1:42" ht="12.75" thickBot="1">
      <c r="A55" s="275">
        <v>53</v>
      </c>
      <c r="B55" s="296">
        <v>2.64</v>
      </c>
      <c r="C55" s="484">
        <v>1818</v>
      </c>
      <c r="D55" s="275">
        <v>1774</v>
      </c>
      <c r="E55" s="275">
        <v>1759</v>
      </c>
      <c r="F55" s="485">
        <v>7.4</v>
      </c>
      <c r="G55" s="287">
        <v>7.2</v>
      </c>
      <c r="H55" s="486">
        <v>-0.108</v>
      </c>
      <c r="I55" s="486">
        <v>0.221</v>
      </c>
      <c r="J55" s="487">
        <v>28.4</v>
      </c>
      <c r="K55" s="287">
        <v>27.7</v>
      </c>
      <c r="L55" s="288">
        <v>6.15</v>
      </c>
      <c r="M55" s="287">
        <v>118</v>
      </c>
      <c r="N55" s="296">
        <v>2.64</v>
      </c>
      <c r="O55" s="297"/>
      <c r="P55" s="818" t="s">
        <v>32</v>
      </c>
      <c r="Q55" s="490">
        <f>IF(Q52=R52,Q52,Q52+R54/S54)</f>
        <v>-0.03822143864598023</v>
      </c>
      <c r="R55" s="310"/>
      <c r="S55" s="362"/>
      <c r="V55" s="323" t="s">
        <v>323</v>
      </c>
      <c r="W55" s="324">
        <f>IF(W52=X52,W52,W52+X54/Y54)</f>
        <v>40.17554705882353</v>
      </c>
      <c r="X55" s="310"/>
      <c r="Y55" s="313"/>
      <c r="AM55" s="349"/>
      <c r="AN55" s="493"/>
      <c r="AO55" s="349"/>
      <c r="AP55" s="349"/>
    </row>
    <row r="56" spans="1:42" ht="12.75" thickBot="1">
      <c r="A56" s="275">
        <v>54</v>
      </c>
      <c r="B56" s="296">
        <v>2.66</v>
      </c>
      <c r="C56" s="484">
        <v>1833</v>
      </c>
      <c r="D56" s="275">
        <v>1788</v>
      </c>
      <c r="E56" s="275">
        <v>1773</v>
      </c>
      <c r="F56" s="485">
        <v>7.4</v>
      </c>
      <c r="G56" s="287">
        <v>7.2</v>
      </c>
      <c r="H56" s="486">
        <v>-0.118</v>
      </c>
      <c r="I56" s="486">
        <v>0.218</v>
      </c>
      <c r="J56" s="487">
        <v>28.5</v>
      </c>
      <c r="K56" s="287">
        <v>27.8</v>
      </c>
      <c r="L56" s="288">
        <v>6.13</v>
      </c>
      <c r="M56" s="287">
        <v>117.3</v>
      </c>
      <c r="N56" s="296">
        <v>2.66</v>
      </c>
      <c r="O56" s="297"/>
      <c r="P56" s="814"/>
      <c r="Q56" s="815"/>
      <c r="R56" s="318"/>
      <c r="S56" s="813"/>
      <c r="Y56" s="315"/>
      <c r="AM56" s="352"/>
      <c r="AN56" s="351"/>
      <c r="AO56" s="349"/>
      <c r="AP56" s="349"/>
    </row>
    <row r="57" spans="1:42" ht="12">
      <c r="A57" s="275">
        <v>55</v>
      </c>
      <c r="B57" s="296">
        <v>2.68</v>
      </c>
      <c r="C57" s="484">
        <v>1848</v>
      </c>
      <c r="D57" s="275">
        <v>1803</v>
      </c>
      <c r="E57" s="275">
        <v>1788</v>
      </c>
      <c r="F57" s="485">
        <v>7.4</v>
      </c>
      <c r="G57" s="287">
        <v>7.2</v>
      </c>
      <c r="H57" s="486">
        <v>-0.129</v>
      </c>
      <c r="I57" s="486">
        <v>0.214</v>
      </c>
      <c r="J57" s="487">
        <v>28.5</v>
      </c>
      <c r="K57" s="287">
        <v>27.8</v>
      </c>
      <c r="L57" s="288">
        <v>6.11</v>
      </c>
      <c r="M57" s="287">
        <v>116.6</v>
      </c>
      <c r="N57" s="296">
        <v>2.68</v>
      </c>
      <c r="O57" s="297"/>
      <c r="P57" s="817" t="s">
        <v>278</v>
      </c>
      <c r="Q57" s="294">
        <f>Q51</f>
        <v>2.5</v>
      </c>
      <c r="R57" s="294">
        <f>R51</f>
        <v>2.52</v>
      </c>
      <c r="S57" s="358">
        <f>R57-Q57</f>
        <v>0.020000000000000018</v>
      </c>
      <c r="V57" s="293" t="s">
        <v>278</v>
      </c>
      <c r="W57" s="294">
        <f>$T$6</f>
        <v>5.600000000000008</v>
      </c>
      <c r="X57" s="294">
        <f>$U$6</f>
        <v>5.620000000000008</v>
      </c>
      <c r="Y57" s="295">
        <f>X57-W57</f>
        <v>0.020000000000000462</v>
      </c>
      <c r="AM57" s="349"/>
      <c r="AN57" s="349"/>
      <c r="AO57" s="349"/>
      <c r="AP57" s="349"/>
    </row>
    <row r="58" spans="1:42" ht="12">
      <c r="A58" s="275">
        <v>56</v>
      </c>
      <c r="B58" s="296">
        <v>2.7</v>
      </c>
      <c r="C58" s="484">
        <v>1862</v>
      </c>
      <c r="D58" s="275">
        <v>1817</v>
      </c>
      <c r="E58" s="275">
        <v>1802</v>
      </c>
      <c r="F58" s="485">
        <v>7.4</v>
      </c>
      <c r="G58" s="287">
        <v>7.2</v>
      </c>
      <c r="H58" s="486">
        <v>-0.139</v>
      </c>
      <c r="I58" s="486">
        <v>0.211</v>
      </c>
      <c r="J58" s="487">
        <v>28.6</v>
      </c>
      <c r="K58" s="287">
        <v>27.9</v>
      </c>
      <c r="L58" s="288">
        <v>6.09</v>
      </c>
      <c r="M58" s="287">
        <v>115.9</v>
      </c>
      <c r="N58" s="296">
        <v>2.7</v>
      </c>
      <c r="O58" s="297"/>
      <c r="P58" s="360" t="s">
        <v>343</v>
      </c>
      <c r="Q58" s="317">
        <f>VLOOKUP(Q57,$B$2:$N$240,8,FALSE)</f>
        <v>0.244</v>
      </c>
      <c r="R58" s="317">
        <f>VLOOKUP(R57,$B$2:$N$240,8,FALSE)</f>
        <v>0.241</v>
      </c>
      <c r="S58" s="358">
        <f>R58-Q58</f>
        <v>-0.0030000000000000027</v>
      </c>
      <c r="V58" s="301"/>
      <c r="W58" s="317">
        <f>VLOOKUP(W57,$B$2:$L$240,11,FALSE)</f>
        <v>5.45</v>
      </c>
      <c r="X58" s="317">
        <f>VLOOKUP(X57,$B$2:$L$240,11,FALSE)</f>
        <v>5.46</v>
      </c>
      <c r="Y58" s="295">
        <f>X58-W58</f>
        <v>0.009999999999999787</v>
      </c>
      <c r="AM58" s="350"/>
      <c r="AN58" s="348"/>
      <c r="AO58" s="348"/>
      <c r="AP58" s="349"/>
    </row>
    <row r="59" spans="1:42" ht="12">
      <c r="A59" s="275">
        <v>57</v>
      </c>
      <c r="B59" s="296">
        <v>2.72</v>
      </c>
      <c r="C59" s="484">
        <v>1877</v>
      </c>
      <c r="D59" s="275">
        <v>1832</v>
      </c>
      <c r="E59" s="275">
        <v>1816</v>
      </c>
      <c r="F59" s="485">
        <v>7.4</v>
      </c>
      <c r="G59" s="287">
        <v>7.3</v>
      </c>
      <c r="H59" s="486">
        <v>-0.149</v>
      </c>
      <c r="I59" s="486">
        <v>0.208</v>
      </c>
      <c r="J59" s="487">
        <v>28.6</v>
      </c>
      <c r="K59" s="287">
        <v>27.9</v>
      </c>
      <c r="L59" s="288">
        <v>6.07</v>
      </c>
      <c r="M59" s="287">
        <v>115.2</v>
      </c>
      <c r="N59" s="296">
        <v>2.72</v>
      </c>
      <c r="O59" s="297"/>
      <c r="P59" s="360"/>
      <c r="Q59" s="303"/>
      <c r="R59" s="303"/>
      <c r="S59" s="358"/>
      <c r="V59" s="301"/>
      <c r="W59" s="303"/>
      <c r="X59" s="303"/>
      <c r="Y59" s="295"/>
      <c r="AM59" s="350"/>
      <c r="AN59" s="348"/>
      <c r="AO59" s="348"/>
      <c r="AP59" s="349"/>
    </row>
    <row r="60" spans="1:42" ht="12">
      <c r="A60" s="275">
        <v>58</v>
      </c>
      <c r="B60" s="296">
        <v>2.74</v>
      </c>
      <c r="C60" s="484">
        <v>1892</v>
      </c>
      <c r="D60" s="275">
        <v>1846</v>
      </c>
      <c r="E60" s="275">
        <v>1831</v>
      </c>
      <c r="F60" s="485">
        <v>7.4</v>
      </c>
      <c r="G60" s="287">
        <v>7.3</v>
      </c>
      <c r="H60" s="486">
        <v>-0.16</v>
      </c>
      <c r="I60" s="486">
        <v>0.205</v>
      </c>
      <c r="J60" s="487">
        <v>28.7</v>
      </c>
      <c r="K60" s="287">
        <v>28</v>
      </c>
      <c r="L60" s="288">
        <v>6.05</v>
      </c>
      <c r="M60" s="287">
        <v>114.5</v>
      </c>
      <c r="N60" s="296">
        <v>2.74</v>
      </c>
      <c r="O60" s="297"/>
      <c r="P60" s="361"/>
      <c r="Q60" s="309">
        <f>P34</f>
        <v>2.5044428772919605</v>
      </c>
      <c r="R60" s="303">
        <f>Q60-Q57</f>
        <v>0.0044428772919604675</v>
      </c>
      <c r="S60" s="358">
        <f>S57/S58</f>
        <v>-6.666666666666667</v>
      </c>
      <c r="V60" s="308"/>
      <c r="W60" s="309">
        <f>$S$3</f>
        <v>5.615109411764713</v>
      </c>
      <c r="X60" s="303">
        <f>W60-W57</f>
        <v>0.015109411764705705</v>
      </c>
      <c r="Y60" s="295">
        <f>Y57/Y58</f>
        <v>2.000000000000089</v>
      </c>
      <c r="AM60" s="350"/>
      <c r="AN60" s="349"/>
      <c r="AO60" s="349"/>
      <c r="AP60" s="349"/>
    </row>
    <row r="61" spans="1:42" ht="12.75" thickBot="1">
      <c r="A61" s="275">
        <v>59</v>
      </c>
      <c r="B61" s="296">
        <v>2.76</v>
      </c>
      <c r="C61" s="275">
        <v>1907</v>
      </c>
      <c r="D61" s="275">
        <v>1861</v>
      </c>
      <c r="E61" s="275">
        <v>1845</v>
      </c>
      <c r="F61" s="287">
        <v>7.4</v>
      </c>
      <c r="G61" s="287">
        <v>7.3</v>
      </c>
      <c r="H61" s="285">
        <v>-0.17</v>
      </c>
      <c r="I61" s="285">
        <v>0.201</v>
      </c>
      <c r="J61" s="287">
        <v>28.7</v>
      </c>
      <c r="K61" s="287">
        <v>28</v>
      </c>
      <c r="L61" s="288">
        <v>6.03</v>
      </c>
      <c r="M61" s="287">
        <v>113.9</v>
      </c>
      <c r="N61" s="296">
        <v>2.76</v>
      </c>
      <c r="O61" s="297"/>
      <c r="P61" s="818" t="s">
        <v>31</v>
      </c>
      <c r="Q61" s="319">
        <f>IF(Q58=R58,Q58,Q58+R60/S60)</f>
        <v>0.24333356840620593</v>
      </c>
      <c r="R61" s="310"/>
      <c r="S61" s="362"/>
      <c r="V61" s="323" t="s">
        <v>313</v>
      </c>
      <c r="W61" s="319">
        <f>IF(W58=X58,W58,W58+X60/Y60)</f>
        <v>5.457554705882353</v>
      </c>
      <c r="X61" s="310"/>
      <c r="Y61" s="313"/>
      <c r="AM61" s="349"/>
      <c r="AN61" s="493"/>
      <c r="AO61" s="349"/>
      <c r="AP61" s="349"/>
    </row>
    <row r="62" spans="1:42" ht="12.75" thickBot="1">
      <c r="A62" s="275">
        <v>60</v>
      </c>
      <c r="B62" s="296">
        <v>2.78</v>
      </c>
      <c r="C62" s="275">
        <v>1922</v>
      </c>
      <c r="D62" s="275">
        <v>1875</v>
      </c>
      <c r="E62" s="275">
        <v>1860</v>
      </c>
      <c r="F62" s="287">
        <v>7.4</v>
      </c>
      <c r="G62" s="287">
        <v>7.3</v>
      </c>
      <c r="H62" s="285">
        <v>-0.181</v>
      </c>
      <c r="I62" s="285">
        <v>0.198</v>
      </c>
      <c r="J62" s="287">
        <v>28.8</v>
      </c>
      <c r="K62" s="287">
        <v>28.1</v>
      </c>
      <c r="L62" s="288">
        <v>6.01</v>
      </c>
      <c r="M62" s="287">
        <v>113.2</v>
      </c>
      <c r="N62" s="296">
        <v>2.78</v>
      </c>
      <c r="O62" s="297"/>
      <c r="P62" s="819"/>
      <c r="Q62" s="367"/>
      <c r="R62" s="367"/>
      <c r="S62" s="368"/>
      <c r="Y62" s="315"/>
      <c r="AM62" s="352"/>
      <c r="AN62" s="348"/>
      <c r="AO62" s="349"/>
      <c r="AP62" s="349"/>
    </row>
    <row r="63" spans="1:42" ht="12.75" thickTop="1">
      <c r="A63" s="275">
        <v>61</v>
      </c>
      <c r="B63" s="296">
        <v>2.8</v>
      </c>
      <c r="C63" s="275">
        <v>1937</v>
      </c>
      <c r="D63" s="275">
        <v>1890</v>
      </c>
      <c r="E63" s="275">
        <v>1874</v>
      </c>
      <c r="F63" s="287">
        <v>7.5</v>
      </c>
      <c r="G63" s="287">
        <v>7.3</v>
      </c>
      <c r="H63" s="285">
        <v>-0.191</v>
      </c>
      <c r="I63" s="285">
        <v>0.194</v>
      </c>
      <c r="J63" s="287">
        <v>28.9</v>
      </c>
      <c r="K63" s="287">
        <v>28.2</v>
      </c>
      <c r="L63" s="288">
        <v>5.99</v>
      </c>
      <c r="M63" s="287">
        <v>112.6</v>
      </c>
      <c r="N63" s="296">
        <v>2.8</v>
      </c>
      <c r="O63" s="297"/>
      <c r="V63" s="293" t="s">
        <v>278</v>
      </c>
      <c r="W63" s="294">
        <f>$T$6</f>
        <v>5.600000000000008</v>
      </c>
      <c r="X63" s="294">
        <f>$U$6</f>
        <v>5.620000000000008</v>
      </c>
      <c r="Y63" s="295">
        <f>X63-W63</f>
        <v>0.020000000000000462</v>
      </c>
      <c r="AM63" s="349"/>
      <c r="AN63" s="349"/>
      <c r="AO63" s="349"/>
      <c r="AP63" s="349"/>
    </row>
    <row r="64" spans="1:42" ht="12">
      <c r="A64" s="275">
        <v>62</v>
      </c>
      <c r="B64" s="296">
        <v>2.82</v>
      </c>
      <c r="C64" s="275">
        <v>1952</v>
      </c>
      <c r="D64" s="275">
        <v>1904</v>
      </c>
      <c r="E64" s="275">
        <v>1889</v>
      </c>
      <c r="F64" s="287">
        <v>7.5</v>
      </c>
      <c r="G64" s="287">
        <v>7.3</v>
      </c>
      <c r="H64" s="285">
        <v>-0.202</v>
      </c>
      <c r="I64" s="285">
        <v>0.19</v>
      </c>
      <c r="J64" s="287">
        <v>28.9</v>
      </c>
      <c r="K64" s="287">
        <v>28.2</v>
      </c>
      <c r="L64" s="288">
        <v>5.97</v>
      </c>
      <c r="M64" s="287">
        <v>112</v>
      </c>
      <c r="N64" s="296">
        <v>2.82</v>
      </c>
      <c r="O64" s="297"/>
      <c r="V64" s="301"/>
      <c r="W64" s="321">
        <f>VLOOKUP(W63,$B$2:$M$240,12,FALSE)</f>
        <v>76.4</v>
      </c>
      <c r="X64" s="321">
        <f>VLOOKUP(X63,$B$2:$M$240,12,FALSE)</f>
        <v>76.3</v>
      </c>
      <c r="Y64" s="295">
        <f>X64-W64</f>
        <v>-0.10000000000000853</v>
      </c>
      <c r="AM64" s="350"/>
      <c r="AN64" s="348"/>
      <c r="AO64" s="348"/>
      <c r="AP64" s="349"/>
    </row>
    <row r="65" spans="1:42" ht="12">
      <c r="A65" s="275">
        <v>63</v>
      </c>
      <c r="B65" s="296">
        <v>2.84</v>
      </c>
      <c r="C65" s="275">
        <v>1967</v>
      </c>
      <c r="D65" s="275">
        <v>1919</v>
      </c>
      <c r="E65" s="275">
        <v>1904</v>
      </c>
      <c r="F65" s="287">
        <v>7.5</v>
      </c>
      <c r="G65" s="287">
        <v>7.3</v>
      </c>
      <c r="H65" s="285">
        <v>-0.213</v>
      </c>
      <c r="I65" s="285">
        <v>0.186</v>
      </c>
      <c r="J65" s="287">
        <v>29</v>
      </c>
      <c r="K65" s="287">
        <v>28.3</v>
      </c>
      <c r="L65" s="288">
        <v>5.95</v>
      </c>
      <c r="M65" s="287">
        <v>111.4</v>
      </c>
      <c r="N65" s="296">
        <v>2.84</v>
      </c>
      <c r="O65" s="297"/>
      <c r="V65" s="301"/>
      <c r="W65" s="303"/>
      <c r="X65" s="303"/>
      <c r="Y65" s="295"/>
      <c r="AM65" s="350"/>
      <c r="AN65" s="351"/>
      <c r="AO65" s="351"/>
      <c r="AP65" s="349"/>
    </row>
    <row r="66" spans="1:42" ht="12">
      <c r="A66" s="275">
        <v>64</v>
      </c>
      <c r="B66" s="296">
        <v>2.86</v>
      </c>
      <c r="C66" s="275">
        <v>1982</v>
      </c>
      <c r="D66" s="275">
        <v>1934</v>
      </c>
      <c r="E66" s="275">
        <v>1918</v>
      </c>
      <c r="F66" s="287">
        <v>7.5</v>
      </c>
      <c r="G66" s="287">
        <v>7.3</v>
      </c>
      <c r="H66" s="285">
        <v>-0.223</v>
      </c>
      <c r="I66" s="285">
        <v>0.183</v>
      </c>
      <c r="J66" s="287">
        <v>29</v>
      </c>
      <c r="K66" s="287">
        <v>28.3</v>
      </c>
      <c r="L66" s="288">
        <v>5.93</v>
      </c>
      <c r="M66" s="287">
        <v>110.8</v>
      </c>
      <c r="N66" s="296">
        <v>2.86</v>
      </c>
      <c r="O66" s="297"/>
      <c r="V66" s="308"/>
      <c r="W66" s="309">
        <f>$S$3</f>
        <v>5.615109411764713</v>
      </c>
      <c r="X66" s="303">
        <f>W66-W63</f>
        <v>0.015109411764705705</v>
      </c>
      <c r="Y66" s="295">
        <f>Y63/Y64</f>
        <v>-0.19999999999998758</v>
      </c>
      <c r="AM66" s="350"/>
      <c r="AN66" s="349"/>
      <c r="AO66" s="349"/>
      <c r="AP66" s="349"/>
    </row>
    <row r="67" spans="1:42" ht="12.75" thickBot="1">
      <c r="A67" s="275">
        <v>65</v>
      </c>
      <c r="B67" s="296">
        <v>2.88</v>
      </c>
      <c r="C67" s="275">
        <v>1997</v>
      </c>
      <c r="D67" s="275">
        <v>1948</v>
      </c>
      <c r="E67" s="275">
        <v>1933</v>
      </c>
      <c r="F67" s="287">
        <v>7.5</v>
      </c>
      <c r="G67" s="287">
        <v>7.3</v>
      </c>
      <c r="H67" s="285">
        <v>-0.234</v>
      </c>
      <c r="I67" s="285">
        <v>0.179</v>
      </c>
      <c r="J67" s="287">
        <v>29.1</v>
      </c>
      <c r="K67" s="287">
        <v>28.4</v>
      </c>
      <c r="L67" s="288">
        <v>5.92</v>
      </c>
      <c r="M67" s="287">
        <v>110.2</v>
      </c>
      <c r="N67" s="296">
        <v>2.88</v>
      </c>
      <c r="O67" s="297"/>
      <c r="V67" s="311" t="s">
        <v>113</v>
      </c>
      <c r="W67" s="319">
        <f>IF(W64=X64,W64,W64+X66/Y66)</f>
        <v>76.32445294117647</v>
      </c>
      <c r="X67" s="310"/>
      <c r="Y67" s="313"/>
      <c r="AM67" s="349"/>
      <c r="AN67" s="493"/>
      <c r="AO67" s="349"/>
      <c r="AP67" s="349"/>
    </row>
    <row r="68" spans="1:42" ht="12.75" thickBot="1">
      <c r="A68" s="275">
        <v>66</v>
      </c>
      <c r="B68" s="296">
        <v>2.9</v>
      </c>
      <c r="C68" s="275">
        <v>2012</v>
      </c>
      <c r="D68" s="275">
        <v>1963</v>
      </c>
      <c r="E68" s="275">
        <v>1947</v>
      </c>
      <c r="F68" s="287">
        <v>7.5</v>
      </c>
      <c r="G68" s="287">
        <v>7.3</v>
      </c>
      <c r="H68" s="285">
        <v>-0.245</v>
      </c>
      <c r="I68" s="285">
        <v>0.175</v>
      </c>
      <c r="J68" s="287">
        <v>29.2</v>
      </c>
      <c r="K68" s="287">
        <v>28.4</v>
      </c>
      <c r="L68" s="288">
        <v>5.9</v>
      </c>
      <c r="M68" s="287">
        <v>109.6</v>
      </c>
      <c r="N68" s="296">
        <v>2.9</v>
      </c>
      <c r="O68" s="297"/>
      <c r="AM68" s="352"/>
      <c r="AN68" s="348"/>
      <c r="AO68" s="349"/>
      <c r="AP68" s="349"/>
    </row>
    <row r="69" spans="1:42" ht="12">
      <c r="A69" s="275">
        <v>67</v>
      </c>
      <c r="B69" s="296">
        <v>2.92</v>
      </c>
      <c r="C69" s="275">
        <v>2027</v>
      </c>
      <c r="D69" s="275">
        <v>1978</v>
      </c>
      <c r="E69" s="275">
        <v>1962</v>
      </c>
      <c r="F69" s="287">
        <v>7.5</v>
      </c>
      <c r="G69" s="287">
        <v>7.3</v>
      </c>
      <c r="H69" s="285">
        <v>-0.255</v>
      </c>
      <c r="I69" s="285">
        <v>0.171</v>
      </c>
      <c r="J69" s="287">
        <v>29.2</v>
      </c>
      <c r="K69" s="287">
        <v>28.5</v>
      </c>
      <c r="L69" s="288">
        <v>5.88</v>
      </c>
      <c r="M69" s="287">
        <v>109</v>
      </c>
      <c r="N69" s="296">
        <v>2.92</v>
      </c>
      <c r="O69" s="297"/>
      <c r="V69" s="293" t="s">
        <v>278</v>
      </c>
      <c r="W69" s="294">
        <f>$T$6</f>
        <v>5.600000000000008</v>
      </c>
      <c r="X69" s="294">
        <f>$U$6</f>
        <v>5.620000000000008</v>
      </c>
      <c r="Y69" s="295">
        <f>X69-W69</f>
        <v>0.020000000000000462</v>
      </c>
      <c r="AM69" s="349"/>
      <c r="AN69" s="349"/>
      <c r="AO69" s="349"/>
      <c r="AP69" s="349"/>
    </row>
    <row r="70" spans="1:42" ht="12">
      <c r="A70" s="275">
        <v>68</v>
      </c>
      <c r="B70" s="296">
        <v>2.94</v>
      </c>
      <c r="C70" s="275">
        <v>2042</v>
      </c>
      <c r="D70" s="275">
        <v>1992</v>
      </c>
      <c r="E70" s="275">
        <v>1976</v>
      </c>
      <c r="F70" s="287">
        <v>7.5</v>
      </c>
      <c r="G70" s="287">
        <v>7.3</v>
      </c>
      <c r="H70" s="285">
        <v>-0.266</v>
      </c>
      <c r="I70" s="285">
        <v>0.168</v>
      </c>
      <c r="J70" s="287">
        <v>29.3</v>
      </c>
      <c r="K70" s="287">
        <v>28.6</v>
      </c>
      <c r="L70" s="288">
        <v>5.87</v>
      </c>
      <c r="M70" s="287">
        <v>108.4</v>
      </c>
      <c r="N70" s="296">
        <v>2.94</v>
      </c>
      <c r="O70" s="297"/>
      <c r="V70" s="301" t="s">
        <v>165</v>
      </c>
      <c r="W70" s="302">
        <f>VLOOKUP(W69,$B$2:$D$240,3,FALSE)</f>
        <v>4062</v>
      </c>
      <c r="X70" s="302">
        <f>VLOOKUP(X69,$B$2:$D$240,3,FALSE)</f>
        <v>4079</v>
      </c>
      <c r="Y70" s="295">
        <f>X70-W70</f>
        <v>17</v>
      </c>
      <c r="AM70" s="350"/>
      <c r="AN70" s="348"/>
      <c r="AO70" s="348"/>
      <c r="AP70" s="349"/>
    </row>
    <row r="71" spans="1:42" ht="12">
      <c r="A71" s="275">
        <v>69</v>
      </c>
      <c r="B71" s="296">
        <v>2.96</v>
      </c>
      <c r="C71" s="275">
        <v>2057</v>
      </c>
      <c r="D71" s="275">
        <v>2007</v>
      </c>
      <c r="E71" s="275">
        <v>1991</v>
      </c>
      <c r="F71" s="287">
        <v>7.5</v>
      </c>
      <c r="G71" s="287">
        <v>7.3</v>
      </c>
      <c r="H71" s="285">
        <v>-0.277</v>
      </c>
      <c r="I71" s="285">
        <v>0.164</v>
      </c>
      <c r="J71" s="287">
        <v>29.3</v>
      </c>
      <c r="K71" s="287">
        <v>28.6</v>
      </c>
      <c r="L71" s="288">
        <v>5.85</v>
      </c>
      <c r="M71" s="287">
        <v>107.9</v>
      </c>
      <c r="N71" s="296">
        <v>2.96</v>
      </c>
      <c r="O71" s="297"/>
      <c r="V71" s="301"/>
      <c r="W71" s="303"/>
      <c r="X71" s="303"/>
      <c r="Y71" s="295"/>
      <c r="AM71" s="350"/>
      <c r="AN71" s="350"/>
      <c r="AO71" s="350"/>
      <c r="AP71" s="349"/>
    </row>
    <row r="72" spans="1:42" ht="12">
      <c r="A72" s="275">
        <v>70</v>
      </c>
      <c r="B72" s="296">
        <v>2.98</v>
      </c>
      <c r="C72" s="275">
        <v>2072</v>
      </c>
      <c r="D72" s="275">
        <v>2021</v>
      </c>
      <c r="E72" s="275">
        <v>2006</v>
      </c>
      <c r="F72" s="287">
        <v>7.5</v>
      </c>
      <c r="G72" s="287">
        <v>7.3</v>
      </c>
      <c r="H72" s="285">
        <v>-0.287</v>
      </c>
      <c r="I72" s="285">
        <v>0.161</v>
      </c>
      <c r="J72" s="287">
        <v>29.4</v>
      </c>
      <c r="K72" s="287">
        <v>28.7</v>
      </c>
      <c r="L72" s="288">
        <v>5.84</v>
      </c>
      <c r="M72" s="287">
        <v>107.3</v>
      </c>
      <c r="N72" s="296">
        <v>2.98</v>
      </c>
      <c r="O72" s="297"/>
      <c r="V72" s="308"/>
      <c r="W72" s="309">
        <f>$S$3</f>
        <v>5.615109411764713</v>
      </c>
      <c r="X72" s="303">
        <f>W72-W69</f>
        <v>0.015109411764705705</v>
      </c>
      <c r="Y72" s="295">
        <f>Y69/Y70</f>
        <v>0.0011764705882353213</v>
      </c>
      <c r="AM72" s="350"/>
      <c r="AN72" s="349"/>
      <c r="AO72" s="349"/>
      <c r="AP72" s="349"/>
    </row>
    <row r="73" spans="1:42" ht="12.75" thickBot="1">
      <c r="A73" s="275">
        <v>71</v>
      </c>
      <c r="B73" s="296">
        <v>3</v>
      </c>
      <c r="C73" s="275">
        <v>2087</v>
      </c>
      <c r="D73" s="275">
        <v>2036</v>
      </c>
      <c r="E73" s="275">
        <v>2020</v>
      </c>
      <c r="F73" s="287">
        <v>7.5</v>
      </c>
      <c r="G73" s="287">
        <v>7.3</v>
      </c>
      <c r="H73" s="285">
        <v>-0.298</v>
      </c>
      <c r="I73" s="285">
        <v>0.157</v>
      </c>
      <c r="J73" s="287">
        <v>29.4</v>
      </c>
      <c r="K73" s="287">
        <v>28.7</v>
      </c>
      <c r="L73" s="288">
        <v>5.82</v>
      </c>
      <c r="M73" s="287">
        <v>106.8</v>
      </c>
      <c r="N73" s="296">
        <v>3</v>
      </c>
      <c r="O73" s="297"/>
      <c r="V73" s="325" t="s">
        <v>316</v>
      </c>
      <c r="W73" s="312">
        <f>IF(W70=X70,W70,W70+X72/Y72)</f>
        <v>4074.8429999999994</v>
      </c>
      <c r="X73" s="310"/>
      <c r="Y73" s="313"/>
      <c r="AM73" s="349"/>
      <c r="AN73" s="493"/>
      <c r="AO73" s="349"/>
      <c r="AP73" s="349"/>
    </row>
    <row r="74" spans="1:42" ht="12">
      <c r="A74" s="275">
        <v>72</v>
      </c>
      <c r="B74" s="296">
        <v>3.02</v>
      </c>
      <c r="C74" s="275">
        <v>2102</v>
      </c>
      <c r="D74" s="275">
        <v>2051</v>
      </c>
      <c r="E74" s="275">
        <v>2035</v>
      </c>
      <c r="F74" s="287">
        <v>7.5</v>
      </c>
      <c r="G74" s="287">
        <v>7.3</v>
      </c>
      <c r="H74" s="285">
        <v>-0.309</v>
      </c>
      <c r="I74" s="285">
        <v>0.153</v>
      </c>
      <c r="J74" s="287">
        <v>29.5</v>
      </c>
      <c r="K74" s="287">
        <v>28.8</v>
      </c>
      <c r="L74" s="288">
        <v>5.81</v>
      </c>
      <c r="M74" s="287">
        <v>106.3</v>
      </c>
      <c r="N74" s="296">
        <v>3.02</v>
      </c>
      <c r="O74" s="297"/>
      <c r="AM74" s="349"/>
      <c r="AN74" s="492"/>
      <c r="AO74" s="349"/>
      <c r="AP74" s="349"/>
    </row>
    <row r="75" spans="1:42" ht="12">
      <c r="A75" s="275">
        <v>73</v>
      </c>
      <c r="B75" s="296">
        <v>3.04</v>
      </c>
      <c r="C75" s="275">
        <v>2117</v>
      </c>
      <c r="D75" s="275">
        <v>2066</v>
      </c>
      <c r="E75" s="275">
        <v>2049</v>
      </c>
      <c r="F75" s="287">
        <v>7.5</v>
      </c>
      <c r="G75" s="287">
        <v>7.3</v>
      </c>
      <c r="H75" s="285">
        <v>-0.32</v>
      </c>
      <c r="I75" s="285">
        <v>0.149</v>
      </c>
      <c r="J75" s="287">
        <v>29.6</v>
      </c>
      <c r="K75" s="287">
        <v>28.8</v>
      </c>
      <c r="L75" s="288">
        <v>5.79</v>
      </c>
      <c r="M75" s="287">
        <v>105.7</v>
      </c>
      <c r="N75" s="296">
        <v>3.04</v>
      </c>
      <c r="O75" s="297"/>
      <c r="V75" s="350"/>
      <c r="W75" s="348"/>
      <c r="X75" s="348"/>
      <c r="Y75" s="349"/>
      <c r="AM75" s="349"/>
      <c r="AN75" s="349"/>
      <c r="AO75" s="349"/>
      <c r="AP75" s="349"/>
    </row>
    <row r="76" spans="1:42" ht="12">
      <c r="A76" s="275">
        <v>74</v>
      </c>
      <c r="B76" s="296">
        <v>3.06</v>
      </c>
      <c r="C76" s="275">
        <v>2132</v>
      </c>
      <c r="D76" s="275">
        <v>2080</v>
      </c>
      <c r="E76" s="275">
        <v>2064</v>
      </c>
      <c r="F76" s="287">
        <v>7.5</v>
      </c>
      <c r="G76" s="287">
        <v>7.4</v>
      </c>
      <c r="H76" s="285">
        <v>-0.332</v>
      </c>
      <c r="I76" s="285">
        <v>0.145</v>
      </c>
      <c r="J76" s="287">
        <v>29.6</v>
      </c>
      <c r="K76" s="287">
        <v>28.9</v>
      </c>
      <c r="L76" s="288">
        <v>5.78</v>
      </c>
      <c r="M76" s="287">
        <v>105.2</v>
      </c>
      <c r="N76" s="296">
        <v>3.06</v>
      </c>
      <c r="O76" s="297"/>
      <c r="V76" s="350"/>
      <c r="W76" s="350"/>
      <c r="X76" s="350"/>
      <c r="Y76" s="349"/>
      <c r="AM76" s="350"/>
      <c r="AN76" s="348"/>
      <c r="AO76" s="348"/>
      <c r="AP76" s="349"/>
    </row>
    <row r="77" spans="1:42" ht="12">
      <c r="A77" s="275">
        <v>75</v>
      </c>
      <c r="B77" s="296">
        <v>3.08</v>
      </c>
      <c r="C77" s="275">
        <v>2147</v>
      </c>
      <c r="D77" s="275">
        <v>2095</v>
      </c>
      <c r="E77" s="275">
        <v>2079</v>
      </c>
      <c r="F77" s="287">
        <v>7.5</v>
      </c>
      <c r="G77" s="287">
        <v>7.4</v>
      </c>
      <c r="H77" s="285">
        <v>-0.343</v>
      </c>
      <c r="I77" s="285">
        <v>0.141</v>
      </c>
      <c r="J77" s="287">
        <v>29.7</v>
      </c>
      <c r="K77" s="287">
        <v>29</v>
      </c>
      <c r="L77" s="288">
        <v>5.76</v>
      </c>
      <c r="M77" s="287">
        <v>104.7</v>
      </c>
      <c r="N77" s="296">
        <v>3.08</v>
      </c>
      <c r="O77" s="297"/>
      <c r="V77" s="350"/>
      <c r="W77" s="349"/>
      <c r="X77" s="349"/>
      <c r="Y77" s="349"/>
      <c r="AM77" s="349"/>
      <c r="AN77" s="349"/>
      <c r="AO77" s="349"/>
      <c r="AP77" s="349"/>
    </row>
    <row r="78" spans="1:42" ht="12">
      <c r="A78" s="275">
        <v>76</v>
      </c>
      <c r="B78" s="296">
        <v>3.1</v>
      </c>
      <c r="C78" s="275">
        <v>2163</v>
      </c>
      <c r="D78" s="275">
        <v>2110</v>
      </c>
      <c r="E78" s="275">
        <v>2094</v>
      </c>
      <c r="F78" s="287">
        <v>7.5</v>
      </c>
      <c r="G78" s="287">
        <v>7.4</v>
      </c>
      <c r="H78" s="285">
        <v>-0.354</v>
      </c>
      <c r="I78" s="285">
        <v>0.137</v>
      </c>
      <c r="J78" s="287">
        <v>29.8</v>
      </c>
      <c r="K78" s="287">
        <v>29</v>
      </c>
      <c r="L78" s="288">
        <v>5.75</v>
      </c>
      <c r="M78" s="287">
        <v>104.2</v>
      </c>
      <c r="N78" s="296">
        <v>3.1</v>
      </c>
      <c r="O78" s="297"/>
      <c r="V78" s="349"/>
      <c r="W78" s="493"/>
      <c r="X78" s="349"/>
      <c r="Y78" s="349"/>
      <c r="AM78" s="349"/>
      <c r="AN78" s="349"/>
      <c r="AO78" s="349"/>
      <c r="AP78" s="349"/>
    </row>
    <row r="79" spans="1:25" ht="12">
      <c r="A79" s="275">
        <v>77</v>
      </c>
      <c r="B79" s="296">
        <v>3.12</v>
      </c>
      <c r="C79" s="275">
        <v>2178</v>
      </c>
      <c r="D79" s="275">
        <v>2125</v>
      </c>
      <c r="E79" s="275">
        <v>2108</v>
      </c>
      <c r="F79" s="287">
        <v>7.6</v>
      </c>
      <c r="G79" s="287">
        <v>7.4</v>
      </c>
      <c r="H79" s="285">
        <v>-0.366</v>
      </c>
      <c r="I79" s="285">
        <v>0.133</v>
      </c>
      <c r="J79" s="287">
        <v>29.8</v>
      </c>
      <c r="K79" s="287">
        <v>29.1</v>
      </c>
      <c r="L79" s="288">
        <v>5.74</v>
      </c>
      <c r="M79" s="287">
        <v>103.7</v>
      </c>
      <c r="N79" s="296">
        <v>3.12</v>
      </c>
      <c r="O79" s="297"/>
      <c r="V79" s="349"/>
      <c r="W79" s="492"/>
      <c r="X79" s="349"/>
      <c r="Y79" s="349"/>
    </row>
    <row r="80" spans="1:25" ht="12">
      <c r="A80" s="275">
        <v>78</v>
      </c>
      <c r="B80" s="296">
        <v>3.14</v>
      </c>
      <c r="C80" s="275">
        <v>2193</v>
      </c>
      <c r="D80" s="275">
        <v>2139</v>
      </c>
      <c r="E80" s="275">
        <v>2123</v>
      </c>
      <c r="F80" s="287">
        <v>7.6</v>
      </c>
      <c r="G80" s="287">
        <v>7.4</v>
      </c>
      <c r="H80" s="285">
        <v>-0.377</v>
      </c>
      <c r="I80" s="285">
        <v>0.129</v>
      </c>
      <c r="J80" s="287">
        <v>29.9</v>
      </c>
      <c r="K80" s="287">
        <v>29.2</v>
      </c>
      <c r="L80" s="288">
        <v>5.73</v>
      </c>
      <c r="M80" s="287">
        <v>103.2</v>
      </c>
      <c r="N80" s="296">
        <v>3.14</v>
      </c>
      <c r="O80" s="297"/>
      <c r="V80" s="349"/>
      <c r="W80" s="349"/>
      <c r="X80" s="349"/>
      <c r="Y80" s="349"/>
    </row>
    <row r="81" spans="1:25" ht="12">
      <c r="A81" s="275">
        <v>79</v>
      </c>
      <c r="B81" s="296">
        <v>3.16</v>
      </c>
      <c r="C81" s="275">
        <v>2208</v>
      </c>
      <c r="D81" s="275">
        <v>2154</v>
      </c>
      <c r="E81" s="275">
        <v>2138</v>
      </c>
      <c r="F81" s="287">
        <v>7.6</v>
      </c>
      <c r="G81" s="287">
        <v>7.4</v>
      </c>
      <c r="H81" s="285">
        <v>-0.388</v>
      </c>
      <c r="I81" s="285">
        <v>0.125</v>
      </c>
      <c r="J81" s="287">
        <v>29.9</v>
      </c>
      <c r="K81" s="287">
        <v>29.2</v>
      </c>
      <c r="L81" s="288">
        <v>5.71</v>
      </c>
      <c r="M81" s="287">
        <v>102.7</v>
      </c>
      <c r="N81" s="296">
        <v>3.16</v>
      </c>
      <c r="O81" s="297"/>
      <c r="V81" s="350"/>
      <c r="W81" s="348"/>
      <c r="X81" s="348"/>
      <c r="Y81" s="349"/>
    </row>
    <row r="82" spans="1:25" ht="12">
      <c r="A82" s="275">
        <v>80</v>
      </c>
      <c r="B82" s="296">
        <v>3.18</v>
      </c>
      <c r="C82" s="275">
        <v>2223</v>
      </c>
      <c r="D82" s="275">
        <v>2169</v>
      </c>
      <c r="E82" s="275">
        <v>2153</v>
      </c>
      <c r="F82" s="287">
        <v>7.6</v>
      </c>
      <c r="G82" s="287">
        <v>7.4</v>
      </c>
      <c r="H82" s="285">
        <v>-0.4</v>
      </c>
      <c r="I82" s="285">
        <v>0.121</v>
      </c>
      <c r="J82" s="287">
        <v>30</v>
      </c>
      <c r="K82" s="287">
        <v>29.3</v>
      </c>
      <c r="L82" s="288">
        <v>5.7</v>
      </c>
      <c r="M82" s="287">
        <v>102.3</v>
      </c>
      <c r="N82" s="296">
        <v>3.18</v>
      </c>
      <c r="O82" s="297"/>
      <c r="V82" s="350"/>
      <c r="W82" s="350"/>
      <c r="X82" s="350"/>
      <c r="Y82" s="349"/>
    </row>
    <row r="83" spans="1:25" ht="12">
      <c r="A83" s="275">
        <v>81</v>
      </c>
      <c r="B83" s="296">
        <v>3.2</v>
      </c>
      <c r="C83" s="275">
        <v>2238</v>
      </c>
      <c r="D83" s="275">
        <v>2184</v>
      </c>
      <c r="E83" s="275">
        <v>2167</v>
      </c>
      <c r="F83" s="287">
        <v>7.6</v>
      </c>
      <c r="G83" s="287">
        <v>7.4</v>
      </c>
      <c r="H83" s="285">
        <v>-0.411</v>
      </c>
      <c r="I83" s="285">
        <v>0.117</v>
      </c>
      <c r="J83" s="287">
        <v>30.1</v>
      </c>
      <c r="K83" s="287">
        <v>29.3</v>
      </c>
      <c r="L83" s="288">
        <v>5.69</v>
      </c>
      <c r="M83" s="287">
        <v>101.8</v>
      </c>
      <c r="N83" s="296">
        <v>3.2</v>
      </c>
      <c r="O83" s="297"/>
      <c r="V83" s="350"/>
      <c r="W83" s="349"/>
      <c r="X83" s="349"/>
      <c r="Y83" s="349"/>
    </row>
    <row r="84" spans="1:25" ht="12">
      <c r="A84" s="275">
        <v>82</v>
      </c>
      <c r="B84" s="296">
        <v>3.22</v>
      </c>
      <c r="C84" s="275">
        <v>2254</v>
      </c>
      <c r="D84" s="275">
        <v>2199</v>
      </c>
      <c r="E84" s="275">
        <v>2182</v>
      </c>
      <c r="F84" s="287">
        <v>7.6</v>
      </c>
      <c r="G84" s="287">
        <v>7.4</v>
      </c>
      <c r="H84" s="285">
        <v>-0.422</v>
      </c>
      <c r="I84" s="285">
        <v>0.113</v>
      </c>
      <c r="J84" s="287">
        <v>30.1</v>
      </c>
      <c r="K84" s="287">
        <v>29.4</v>
      </c>
      <c r="L84" s="288">
        <v>5.68</v>
      </c>
      <c r="M84" s="287">
        <v>101.3</v>
      </c>
      <c r="N84" s="296">
        <v>3.22</v>
      </c>
      <c r="O84" s="297"/>
      <c r="V84" s="349"/>
      <c r="W84" s="493"/>
      <c r="X84" s="349"/>
      <c r="Y84" s="349"/>
    </row>
    <row r="85" spans="1:25" ht="12">
      <c r="A85" s="275">
        <v>83</v>
      </c>
      <c r="B85" s="296">
        <v>3.24</v>
      </c>
      <c r="C85" s="275">
        <v>2269</v>
      </c>
      <c r="D85" s="275">
        <v>2213</v>
      </c>
      <c r="E85" s="275">
        <v>2197</v>
      </c>
      <c r="F85" s="287">
        <v>7.6</v>
      </c>
      <c r="G85" s="287">
        <v>7.4</v>
      </c>
      <c r="H85" s="285">
        <v>-0.433</v>
      </c>
      <c r="I85" s="285">
        <v>0.109</v>
      </c>
      <c r="J85" s="287">
        <v>30.2</v>
      </c>
      <c r="K85" s="287">
        <v>29.5</v>
      </c>
      <c r="L85" s="288">
        <v>5.67</v>
      </c>
      <c r="M85" s="287">
        <v>100.9</v>
      </c>
      <c r="N85" s="296">
        <v>3.24</v>
      </c>
      <c r="O85" s="297"/>
      <c r="V85" s="349"/>
      <c r="W85" s="492"/>
      <c r="X85" s="349"/>
      <c r="Y85" s="349"/>
    </row>
    <row r="86" spans="1:25" ht="12">
      <c r="A86" s="275">
        <v>84</v>
      </c>
      <c r="B86" s="296">
        <v>3.26</v>
      </c>
      <c r="C86" s="275">
        <v>2284</v>
      </c>
      <c r="D86" s="275">
        <v>2228</v>
      </c>
      <c r="E86" s="275">
        <v>2211</v>
      </c>
      <c r="F86" s="287">
        <v>7.6</v>
      </c>
      <c r="G86" s="287">
        <v>7.4</v>
      </c>
      <c r="H86" s="285">
        <v>-0.444</v>
      </c>
      <c r="I86" s="285">
        <v>0.105</v>
      </c>
      <c r="J86" s="287">
        <v>30.3</v>
      </c>
      <c r="K86" s="287">
        <v>29.5</v>
      </c>
      <c r="L86" s="288">
        <v>5.65</v>
      </c>
      <c r="M86" s="287">
        <v>100.4</v>
      </c>
      <c r="N86" s="296">
        <v>3.26</v>
      </c>
      <c r="O86" s="297"/>
      <c r="V86" s="349"/>
      <c r="W86" s="349"/>
      <c r="X86" s="349"/>
      <c r="Y86" s="349"/>
    </row>
    <row r="87" spans="1:25" ht="12">
      <c r="A87" s="275">
        <v>85</v>
      </c>
      <c r="B87" s="296">
        <v>3.28</v>
      </c>
      <c r="C87" s="275">
        <v>2299</v>
      </c>
      <c r="D87" s="275">
        <v>2243</v>
      </c>
      <c r="E87" s="275">
        <v>2226</v>
      </c>
      <c r="F87" s="287">
        <v>7.6</v>
      </c>
      <c r="G87" s="287">
        <v>7.4</v>
      </c>
      <c r="H87" s="285">
        <v>-0.455</v>
      </c>
      <c r="I87" s="285">
        <v>0.101</v>
      </c>
      <c r="J87" s="287">
        <v>30.3</v>
      </c>
      <c r="K87" s="287">
        <v>29.6</v>
      </c>
      <c r="L87" s="288">
        <v>5.64</v>
      </c>
      <c r="M87" s="287">
        <v>100</v>
      </c>
      <c r="N87" s="296">
        <v>3.28</v>
      </c>
      <c r="O87" s="297"/>
      <c r="V87" s="350"/>
      <c r="W87" s="348"/>
      <c r="X87" s="348"/>
      <c r="Y87" s="349"/>
    </row>
    <row r="88" spans="1:25" ht="12">
      <c r="A88" s="275">
        <v>86</v>
      </c>
      <c r="B88" s="296">
        <v>3.3</v>
      </c>
      <c r="C88" s="275">
        <v>2314</v>
      </c>
      <c r="D88" s="275">
        <v>2258</v>
      </c>
      <c r="E88" s="275">
        <v>2241</v>
      </c>
      <c r="F88" s="287">
        <v>7.6</v>
      </c>
      <c r="G88" s="287">
        <v>7.4</v>
      </c>
      <c r="H88" s="285">
        <v>-0.465</v>
      </c>
      <c r="I88" s="285">
        <v>0.096</v>
      </c>
      <c r="J88" s="287">
        <v>30.4</v>
      </c>
      <c r="K88" s="287">
        <v>29.6</v>
      </c>
      <c r="L88" s="288">
        <v>5.63</v>
      </c>
      <c r="M88" s="287">
        <v>99.6</v>
      </c>
      <c r="N88" s="296">
        <v>3.3</v>
      </c>
      <c r="O88" s="297"/>
      <c r="V88" s="350"/>
      <c r="W88" s="350"/>
      <c r="X88" s="350"/>
      <c r="Y88" s="349"/>
    </row>
    <row r="89" spans="1:25" ht="12">
      <c r="A89" s="275">
        <v>87</v>
      </c>
      <c r="B89" s="296">
        <v>3.32</v>
      </c>
      <c r="C89" s="275">
        <v>2330</v>
      </c>
      <c r="D89" s="275">
        <v>2273</v>
      </c>
      <c r="E89" s="275">
        <v>2256</v>
      </c>
      <c r="F89" s="287">
        <v>7.6</v>
      </c>
      <c r="G89" s="287">
        <v>7.4</v>
      </c>
      <c r="H89" s="285">
        <v>-0.476</v>
      </c>
      <c r="I89" s="285">
        <v>0.092</v>
      </c>
      <c r="J89" s="287">
        <v>30.4</v>
      </c>
      <c r="K89" s="287">
        <v>29.7</v>
      </c>
      <c r="L89" s="288">
        <v>5.62</v>
      </c>
      <c r="M89" s="287">
        <v>99.1</v>
      </c>
      <c r="N89" s="296">
        <v>3.32</v>
      </c>
      <c r="O89" s="297"/>
      <c r="V89" s="350"/>
      <c r="W89" s="349"/>
      <c r="X89" s="349"/>
      <c r="Y89" s="349"/>
    </row>
    <row r="90" spans="1:25" ht="12">
      <c r="A90" s="275">
        <v>88</v>
      </c>
      <c r="B90" s="296">
        <v>3.34</v>
      </c>
      <c r="C90" s="275">
        <v>2345</v>
      </c>
      <c r="D90" s="275">
        <v>2288</v>
      </c>
      <c r="E90" s="275">
        <v>2271</v>
      </c>
      <c r="F90" s="287">
        <v>7.6</v>
      </c>
      <c r="G90" s="287">
        <v>7.4</v>
      </c>
      <c r="H90" s="285">
        <v>-0.486</v>
      </c>
      <c r="I90" s="285">
        <v>0.087</v>
      </c>
      <c r="J90" s="287">
        <v>30.5</v>
      </c>
      <c r="K90" s="287">
        <v>29.8</v>
      </c>
      <c r="L90" s="288">
        <v>5.61</v>
      </c>
      <c r="M90" s="287">
        <v>98.7</v>
      </c>
      <c r="N90" s="296">
        <v>3.34</v>
      </c>
      <c r="O90" s="297"/>
      <c r="V90" s="349"/>
      <c r="W90" s="493"/>
      <c r="X90" s="349"/>
      <c r="Y90" s="349"/>
    </row>
    <row r="91" spans="1:25" ht="12">
      <c r="A91" s="275">
        <v>89</v>
      </c>
      <c r="B91" s="296">
        <v>3.36</v>
      </c>
      <c r="C91" s="275">
        <v>2360</v>
      </c>
      <c r="D91" s="275">
        <v>2303</v>
      </c>
      <c r="E91" s="275">
        <v>2286</v>
      </c>
      <c r="F91" s="287">
        <v>7.6</v>
      </c>
      <c r="G91" s="287">
        <v>7.4</v>
      </c>
      <c r="H91" s="285">
        <v>-0.496</v>
      </c>
      <c r="I91" s="285">
        <v>0.083</v>
      </c>
      <c r="J91" s="287">
        <v>30.6</v>
      </c>
      <c r="K91" s="287">
        <v>29.8</v>
      </c>
      <c r="L91" s="288">
        <v>5.6</v>
      </c>
      <c r="M91" s="287">
        <v>98.3</v>
      </c>
      <c r="N91" s="296">
        <v>3.36</v>
      </c>
      <c r="O91" s="297"/>
      <c r="V91" s="349"/>
      <c r="W91" s="492"/>
      <c r="X91" s="349"/>
      <c r="Y91" s="349"/>
    </row>
    <row r="92" spans="1:25" ht="12">
      <c r="A92" s="275">
        <v>90</v>
      </c>
      <c r="B92" s="296">
        <v>3.38</v>
      </c>
      <c r="C92" s="275">
        <v>2376</v>
      </c>
      <c r="D92" s="275">
        <v>2318</v>
      </c>
      <c r="E92" s="275">
        <v>2301</v>
      </c>
      <c r="F92" s="287">
        <v>7.6</v>
      </c>
      <c r="G92" s="287">
        <v>7.5</v>
      </c>
      <c r="H92" s="285">
        <v>-0.507</v>
      </c>
      <c r="I92" s="285">
        <v>0.079</v>
      </c>
      <c r="J92" s="287">
        <v>30.6</v>
      </c>
      <c r="K92" s="287">
        <v>29.9</v>
      </c>
      <c r="L92" s="288">
        <v>5.59</v>
      </c>
      <c r="M92" s="287">
        <v>97.9</v>
      </c>
      <c r="N92" s="296">
        <v>3.38</v>
      </c>
      <c r="O92" s="297"/>
      <c r="V92" s="349"/>
      <c r="W92" s="349"/>
      <c r="X92" s="349"/>
      <c r="Y92" s="349"/>
    </row>
    <row r="93" spans="1:25" ht="12">
      <c r="A93" s="275">
        <v>91</v>
      </c>
      <c r="B93" s="296">
        <v>3.4</v>
      </c>
      <c r="C93" s="275">
        <v>2391</v>
      </c>
      <c r="D93" s="275">
        <v>2333</v>
      </c>
      <c r="E93" s="275">
        <v>2316</v>
      </c>
      <c r="F93" s="287">
        <v>7.6</v>
      </c>
      <c r="G93" s="287">
        <v>7.5</v>
      </c>
      <c r="H93" s="285">
        <v>-0.517</v>
      </c>
      <c r="I93" s="285">
        <v>0.075</v>
      </c>
      <c r="J93" s="287">
        <v>30.7</v>
      </c>
      <c r="K93" s="287">
        <v>30</v>
      </c>
      <c r="L93" s="288">
        <v>5.58</v>
      </c>
      <c r="M93" s="287">
        <v>97.5</v>
      </c>
      <c r="N93" s="296">
        <v>3.4</v>
      </c>
      <c r="O93" s="297"/>
      <c r="V93" s="350"/>
      <c r="W93" s="348"/>
      <c r="X93" s="348"/>
      <c r="Y93" s="349"/>
    </row>
    <row r="94" spans="1:25" ht="12">
      <c r="A94" s="275">
        <v>92</v>
      </c>
      <c r="B94" s="296">
        <v>3.42</v>
      </c>
      <c r="C94" s="275">
        <v>2406</v>
      </c>
      <c r="D94" s="275">
        <v>2348</v>
      </c>
      <c r="E94" s="275">
        <v>2330</v>
      </c>
      <c r="F94" s="287">
        <v>7.7</v>
      </c>
      <c r="G94" s="287">
        <v>7.5</v>
      </c>
      <c r="H94" s="285">
        <v>-0.527</v>
      </c>
      <c r="I94" s="285">
        <v>0.07</v>
      </c>
      <c r="J94" s="287">
        <v>30.8</v>
      </c>
      <c r="K94" s="287">
        <v>30</v>
      </c>
      <c r="L94" s="288">
        <v>5.58</v>
      </c>
      <c r="M94" s="287">
        <v>97.1</v>
      </c>
      <c r="N94" s="296">
        <v>3.42</v>
      </c>
      <c r="O94" s="297"/>
      <c r="V94" s="350"/>
      <c r="W94" s="350"/>
      <c r="X94" s="350"/>
      <c r="Y94" s="349"/>
    </row>
    <row r="95" spans="1:25" ht="12">
      <c r="A95" s="275">
        <v>93</v>
      </c>
      <c r="B95" s="296">
        <v>3.44</v>
      </c>
      <c r="C95" s="275">
        <v>2422</v>
      </c>
      <c r="D95" s="275">
        <v>2363</v>
      </c>
      <c r="E95" s="275">
        <v>2345</v>
      </c>
      <c r="F95" s="287">
        <v>7.7</v>
      </c>
      <c r="G95" s="287">
        <v>7.5</v>
      </c>
      <c r="H95" s="285">
        <v>-0.538</v>
      </c>
      <c r="I95" s="285">
        <v>0.066</v>
      </c>
      <c r="J95" s="287">
        <v>30.8</v>
      </c>
      <c r="K95" s="287">
        <v>30.1</v>
      </c>
      <c r="L95" s="288">
        <v>5.57</v>
      </c>
      <c r="M95" s="287">
        <v>96.7</v>
      </c>
      <c r="N95" s="296">
        <v>3.44</v>
      </c>
      <c r="O95" s="297"/>
      <c r="V95" s="350"/>
      <c r="W95" s="349"/>
      <c r="X95" s="349"/>
      <c r="Y95" s="349"/>
    </row>
    <row r="96" spans="1:25" ht="12">
      <c r="A96" s="275">
        <v>94</v>
      </c>
      <c r="B96" s="296">
        <v>3.46</v>
      </c>
      <c r="C96" s="275">
        <v>2437</v>
      </c>
      <c r="D96" s="275">
        <v>2378</v>
      </c>
      <c r="E96" s="275">
        <v>2360</v>
      </c>
      <c r="F96" s="287">
        <v>7.7</v>
      </c>
      <c r="G96" s="287">
        <v>7.5</v>
      </c>
      <c r="H96" s="285">
        <v>-0.548</v>
      </c>
      <c r="I96" s="285">
        <v>0.062</v>
      </c>
      <c r="J96" s="287">
        <v>30.9</v>
      </c>
      <c r="K96" s="287">
        <v>30.1</v>
      </c>
      <c r="L96" s="288">
        <v>5.56</v>
      </c>
      <c r="M96" s="287">
        <v>96.3</v>
      </c>
      <c r="N96" s="296">
        <v>3.46</v>
      </c>
      <c r="O96" s="297"/>
      <c r="V96" s="349"/>
      <c r="W96" s="493"/>
      <c r="X96" s="349"/>
      <c r="Y96" s="349"/>
    </row>
    <row r="97" spans="1:25" ht="12">
      <c r="A97" s="275">
        <v>95</v>
      </c>
      <c r="B97" s="296">
        <v>3.48</v>
      </c>
      <c r="C97" s="275">
        <v>2452</v>
      </c>
      <c r="D97" s="275">
        <v>2393</v>
      </c>
      <c r="E97" s="275">
        <v>2375</v>
      </c>
      <c r="F97" s="287">
        <v>7.7</v>
      </c>
      <c r="G97" s="287">
        <v>7.5</v>
      </c>
      <c r="H97" s="285">
        <v>-0.558</v>
      </c>
      <c r="I97" s="285">
        <v>0.058</v>
      </c>
      <c r="J97" s="287">
        <v>31</v>
      </c>
      <c r="K97" s="287">
        <v>30.2</v>
      </c>
      <c r="L97" s="288">
        <v>5.55</v>
      </c>
      <c r="M97" s="287">
        <v>95.9</v>
      </c>
      <c r="N97" s="296">
        <v>3.48</v>
      </c>
      <c r="O97" s="297"/>
      <c r="V97" s="349"/>
      <c r="W97" s="492"/>
      <c r="X97" s="349"/>
      <c r="Y97" s="349"/>
    </row>
    <row r="98" spans="1:25" ht="12">
      <c r="A98" s="275">
        <v>96</v>
      </c>
      <c r="B98" s="296">
        <v>3.5</v>
      </c>
      <c r="C98" s="275">
        <v>2468</v>
      </c>
      <c r="D98" s="275">
        <v>2407</v>
      </c>
      <c r="E98" s="275">
        <v>2390</v>
      </c>
      <c r="F98" s="287">
        <v>7.7</v>
      </c>
      <c r="G98" s="287">
        <v>7.5</v>
      </c>
      <c r="H98" s="285">
        <v>-0.568</v>
      </c>
      <c r="I98" s="285">
        <v>0.054</v>
      </c>
      <c r="J98" s="287">
        <v>31</v>
      </c>
      <c r="K98" s="287">
        <v>30.3</v>
      </c>
      <c r="L98" s="288">
        <v>5.54</v>
      </c>
      <c r="M98" s="287">
        <v>95.5</v>
      </c>
      <c r="N98" s="296">
        <v>3.5</v>
      </c>
      <c r="O98" s="297"/>
      <c r="V98" s="349"/>
      <c r="W98" s="349"/>
      <c r="X98" s="349"/>
      <c r="Y98" s="349"/>
    </row>
    <row r="99" spans="1:14" ht="12">
      <c r="A99" s="275">
        <v>97</v>
      </c>
      <c r="B99" s="296">
        <v>3.52</v>
      </c>
      <c r="C99" s="275">
        <v>2483</v>
      </c>
      <c r="D99" s="275">
        <v>2422</v>
      </c>
      <c r="E99" s="275">
        <v>2405</v>
      </c>
      <c r="F99" s="287">
        <v>7.7</v>
      </c>
      <c r="G99" s="287">
        <v>7.5</v>
      </c>
      <c r="H99" s="285">
        <v>-0.578</v>
      </c>
      <c r="I99" s="285">
        <v>0.049</v>
      </c>
      <c r="J99" s="287">
        <v>31.1</v>
      </c>
      <c r="K99" s="287">
        <v>30.3</v>
      </c>
      <c r="L99" s="288">
        <v>5.53</v>
      </c>
      <c r="M99" s="287">
        <v>95.1</v>
      </c>
      <c r="N99" s="296">
        <v>3.52</v>
      </c>
    </row>
    <row r="100" spans="1:14" ht="12">
      <c r="A100" s="275">
        <v>98</v>
      </c>
      <c r="B100" s="296">
        <v>3.54</v>
      </c>
      <c r="C100" s="275">
        <v>2498</v>
      </c>
      <c r="D100" s="275">
        <v>2437</v>
      </c>
      <c r="E100" s="275">
        <v>2420</v>
      </c>
      <c r="F100" s="287">
        <v>7.7</v>
      </c>
      <c r="G100" s="287">
        <v>7.5</v>
      </c>
      <c r="H100" s="285">
        <v>-0.588</v>
      </c>
      <c r="I100" s="285">
        <v>0.045</v>
      </c>
      <c r="J100" s="287">
        <v>31.2</v>
      </c>
      <c r="K100" s="287">
        <v>30.4</v>
      </c>
      <c r="L100" s="288">
        <v>5.53</v>
      </c>
      <c r="M100" s="287">
        <v>94.8</v>
      </c>
      <c r="N100" s="296">
        <v>3.54</v>
      </c>
    </row>
    <row r="101" spans="1:14" ht="12">
      <c r="A101" s="275">
        <v>99</v>
      </c>
      <c r="B101" s="296">
        <v>3.56</v>
      </c>
      <c r="C101" s="275">
        <v>2514</v>
      </c>
      <c r="D101" s="275">
        <v>2453</v>
      </c>
      <c r="E101" s="275">
        <v>2435</v>
      </c>
      <c r="F101" s="287">
        <v>7.7</v>
      </c>
      <c r="G101" s="287">
        <v>7.5</v>
      </c>
      <c r="H101" s="285">
        <v>-0.598</v>
      </c>
      <c r="I101" s="285">
        <v>0.04</v>
      </c>
      <c r="J101" s="287">
        <v>31.2</v>
      </c>
      <c r="K101" s="287">
        <v>30.5</v>
      </c>
      <c r="L101" s="288">
        <v>5.52</v>
      </c>
      <c r="M101" s="287">
        <v>94.4</v>
      </c>
      <c r="N101" s="296">
        <v>3.56</v>
      </c>
    </row>
    <row r="102" spans="1:14" ht="12">
      <c r="A102" s="275">
        <v>100</v>
      </c>
      <c r="B102" s="296">
        <v>3.58</v>
      </c>
      <c r="C102" s="275">
        <v>2529</v>
      </c>
      <c r="D102" s="275">
        <v>2468</v>
      </c>
      <c r="E102" s="275">
        <v>2450</v>
      </c>
      <c r="F102" s="287">
        <v>7.7</v>
      </c>
      <c r="G102" s="287">
        <v>7.5</v>
      </c>
      <c r="H102" s="285">
        <v>-0.608</v>
      </c>
      <c r="I102" s="285">
        <v>0.036</v>
      </c>
      <c r="J102" s="287">
        <v>31.3</v>
      </c>
      <c r="K102" s="287">
        <v>30.5</v>
      </c>
      <c r="L102" s="288">
        <v>5.51</v>
      </c>
      <c r="M102" s="287">
        <v>94</v>
      </c>
      <c r="N102" s="296">
        <v>3.58</v>
      </c>
    </row>
    <row r="103" spans="1:14" ht="12">
      <c r="A103" s="275">
        <v>101</v>
      </c>
      <c r="B103" s="296">
        <v>3.6</v>
      </c>
      <c r="C103" s="275">
        <v>2545</v>
      </c>
      <c r="D103" s="275">
        <v>2483</v>
      </c>
      <c r="E103" s="275">
        <v>2465</v>
      </c>
      <c r="F103" s="287">
        <v>7.7</v>
      </c>
      <c r="G103" s="287">
        <v>7.5</v>
      </c>
      <c r="H103" s="285">
        <v>-0.618</v>
      </c>
      <c r="I103" s="285">
        <v>0.031</v>
      </c>
      <c r="J103" s="287">
        <v>31.3</v>
      </c>
      <c r="K103" s="287">
        <v>30.6</v>
      </c>
      <c r="L103" s="288">
        <v>5.5</v>
      </c>
      <c r="M103" s="287">
        <v>93.7</v>
      </c>
      <c r="N103" s="296">
        <v>3.6</v>
      </c>
    </row>
    <row r="104" spans="1:14" ht="12">
      <c r="A104" s="275">
        <v>102</v>
      </c>
      <c r="B104" s="296">
        <v>3.62</v>
      </c>
      <c r="C104" s="275">
        <v>2560</v>
      </c>
      <c r="D104" s="275">
        <v>2498</v>
      </c>
      <c r="E104" s="275">
        <v>2480</v>
      </c>
      <c r="F104" s="287">
        <v>7.7</v>
      </c>
      <c r="G104" s="287">
        <v>7.5</v>
      </c>
      <c r="H104" s="285">
        <v>-0.628</v>
      </c>
      <c r="I104" s="285">
        <v>0.027</v>
      </c>
      <c r="J104" s="287">
        <v>31.4</v>
      </c>
      <c r="K104" s="287">
        <v>30.6</v>
      </c>
      <c r="L104" s="288">
        <v>5.5</v>
      </c>
      <c r="M104" s="287">
        <v>93.3</v>
      </c>
      <c r="N104" s="296">
        <v>3.62</v>
      </c>
    </row>
    <row r="105" spans="1:14" ht="12">
      <c r="A105" s="275">
        <v>103</v>
      </c>
      <c r="B105" s="296">
        <v>3.64</v>
      </c>
      <c r="C105" s="275">
        <v>2576</v>
      </c>
      <c r="D105" s="275">
        <v>2513</v>
      </c>
      <c r="E105" s="275">
        <v>2495</v>
      </c>
      <c r="F105" s="287">
        <v>7.7</v>
      </c>
      <c r="G105" s="287">
        <v>7.5</v>
      </c>
      <c r="H105" s="285">
        <v>-0.638</v>
      </c>
      <c r="I105" s="285">
        <v>0.022</v>
      </c>
      <c r="J105" s="287">
        <v>31.5</v>
      </c>
      <c r="K105" s="287">
        <v>30.7</v>
      </c>
      <c r="L105" s="288">
        <v>5.49</v>
      </c>
      <c r="M105" s="287">
        <v>93</v>
      </c>
      <c r="N105" s="296">
        <v>3.64</v>
      </c>
    </row>
    <row r="106" spans="1:14" ht="12">
      <c r="A106" s="275">
        <v>104</v>
      </c>
      <c r="B106" s="296">
        <v>3.66</v>
      </c>
      <c r="C106" s="275">
        <v>2591</v>
      </c>
      <c r="D106" s="275">
        <v>2528</v>
      </c>
      <c r="E106" s="275">
        <v>2510</v>
      </c>
      <c r="F106" s="287">
        <v>7.7</v>
      </c>
      <c r="G106" s="287">
        <v>7.5</v>
      </c>
      <c r="H106" s="285">
        <v>-0.648</v>
      </c>
      <c r="I106" s="285">
        <v>0.018</v>
      </c>
      <c r="J106" s="287">
        <v>31.5</v>
      </c>
      <c r="K106" s="287">
        <v>30.8</v>
      </c>
      <c r="L106" s="288">
        <v>5.48</v>
      </c>
      <c r="M106" s="287">
        <v>92.6</v>
      </c>
      <c r="N106" s="296">
        <v>3.66</v>
      </c>
    </row>
    <row r="107" spans="1:14" ht="12">
      <c r="A107" s="275">
        <v>105</v>
      </c>
      <c r="B107" s="296">
        <v>3.68</v>
      </c>
      <c r="C107" s="275">
        <v>2607</v>
      </c>
      <c r="D107" s="275">
        <v>2543</v>
      </c>
      <c r="E107" s="275">
        <v>2525</v>
      </c>
      <c r="F107" s="287">
        <v>7.7</v>
      </c>
      <c r="G107" s="287">
        <v>7.5</v>
      </c>
      <c r="H107" s="285">
        <v>-0.658</v>
      </c>
      <c r="I107" s="285">
        <v>0.014</v>
      </c>
      <c r="J107" s="287">
        <v>31.6</v>
      </c>
      <c r="K107" s="287">
        <v>30.8</v>
      </c>
      <c r="L107" s="288">
        <v>5.48</v>
      </c>
      <c r="M107" s="287">
        <v>92.3</v>
      </c>
      <c r="N107" s="296">
        <v>3.68</v>
      </c>
    </row>
    <row r="108" spans="1:14" ht="12">
      <c r="A108" s="275">
        <v>106</v>
      </c>
      <c r="B108" s="296">
        <v>3.7</v>
      </c>
      <c r="C108" s="275">
        <v>2622</v>
      </c>
      <c r="D108" s="275">
        <v>2558</v>
      </c>
      <c r="E108" s="275">
        <v>2540</v>
      </c>
      <c r="F108" s="287">
        <v>7.7</v>
      </c>
      <c r="G108" s="287">
        <v>7.6</v>
      </c>
      <c r="H108" s="285">
        <v>-0.669</v>
      </c>
      <c r="I108" s="285">
        <v>0.009</v>
      </c>
      <c r="J108" s="287">
        <v>31.7</v>
      </c>
      <c r="K108" s="287">
        <v>30.9</v>
      </c>
      <c r="L108" s="288">
        <v>5.47</v>
      </c>
      <c r="M108" s="287">
        <v>92</v>
      </c>
      <c r="N108" s="296">
        <v>3.7</v>
      </c>
    </row>
    <row r="109" spans="1:14" ht="12">
      <c r="A109" s="275">
        <v>107</v>
      </c>
      <c r="B109" s="296">
        <v>3.72</v>
      </c>
      <c r="C109" s="275">
        <v>2638</v>
      </c>
      <c r="D109" s="275">
        <v>2573</v>
      </c>
      <c r="E109" s="275">
        <v>2555</v>
      </c>
      <c r="F109" s="287">
        <v>7.7</v>
      </c>
      <c r="G109" s="287">
        <v>7.6</v>
      </c>
      <c r="H109" s="285">
        <v>-0.679</v>
      </c>
      <c r="I109" s="285">
        <v>0.005</v>
      </c>
      <c r="J109" s="287">
        <v>31.8</v>
      </c>
      <c r="K109" s="287">
        <v>31</v>
      </c>
      <c r="L109" s="288">
        <v>5.47</v>
      </c>
      <c r="M109" s="287">
        <v>91.6</v>
      </c>
      <c r="N109" s="296">
        <v>3.72</v>
      </c>
    </row>
    <row r="110" spans="1:14" ht="12">
      <c r="A110" s="275">
        <v>108</v>
      </c>
      <c r="B110" s="296">
        <v>3.74</v>
      </c>
      <c r="C110" s="275">
        <v>2653</v>
      </c>
      <c r="D110" s="275">
        <v>2589</v>
      </c>
      <c r="E110" s="275">
        <v>2570</v>
      </c>
      <c r="F110" s="287">
        <v>7.8</v>
      </c>
      <c r="G110" s="287">
        <v>7.6</v>
      </c>
      <c r="H110" s="285">
        <v>-0.689</v>
      </c>
      <c r="I110" s="285">
        <v>0</v>
      </c>
      <c r="J110" s="287">
        <v>31.8</v>
      </c>
      <c r="K110" s="287">
        <v>31</v>
      </c>
      <c r="L110" s="288">
        <v>5.46</v>
      </c>
      <c r="M110" s="287">
        <v>91.3</v>
      </c>
      <c r="N110" s="296">
        <v>3.74</v>
      </c>
    </row>
    <row r="111" spans="1:14" ht="12">
      <c r="A111" s="275">
        <v>109</v>
      </c>
      <c r="B111" s="296">
        <v>3.76</v>
      </c>
      <c r="C111" s="275">
        <v>2669</v>
      </c>
      <c r="D111" s="275">
        <v>2604</v>
      </c>
      <c r="E111" s="275">
        <v>2585</v>
      </c>
      <c r="F111" s="287">
        <v>7.8</v>
      </c>
      <c r="G111" s="287">
        <v>7.6</v>
      </c>
      <c r="H111" s="285">
        <v>-0.7</v>
      </c>
      <c r="I111" s="285">
        <v>-0.004</v>
      </c>
      <c r="J111" s="287">
        <v>31.9</v>
      </c>
      <c r="K111" s="287">
        <v>31.1</v>
      </c>
      <c r="L111" s="288">
        <v>5.45</v>
      </c>
      <c r="M111" s="287">
        <v>91</v>
      </c>
      <c r="N111" s="296">
        <v>3.76</v>
      </c>
    </row>
    <row r="112" spans="1:14" ht="12">
      <c r="A112" s="275">
        <v>110</v>
      </c>
      <c r="B112" s="296">
        <v>3.78</v>
      </c>
      <c r="C112" s="275">
        <v>2684</v>
      </c>
      <c r="D112" s="275">
        <v>2619</v>
      </c>
      <c r="E112" s="275">
        <v>2600</v>
      </c>
      <c r="F112" s="287">
        <v>7.8</v>
      </c>
      <c r="G112" s="287">
        <v>7.6</v>
      </c>
      <c r="H112" s="285">
        <v>-0.71</v>
      </c>
      <c r="I112" s="285">
        <v>-0.008</v>
      </c>
      <c r="J112" s="287">
        <v>32</v>
      </c>
      <c r="K112" s="287">
        <v>31.2</v>
      </c>
      <c r="L112" s="288">
        <v>5.45</v>
      </c>
      <c r="M112" s="287">
        <v>90.7</v>
      </c>
      <c r="N112" s="296">
        <v>3.78</v>
      </c>
    </row>
    <row r="113" spans="1:14" ht="12">
      <c r="A113" s="275">
        <v>111</v>
      </c>
      <c r="B113" s="296">
        <v>3.8</v>
      </c>
      <c r="C113" s="275">
        <v>2700</v>
      </c>
      <c r="D113" s="275">
        <v>2634</v>
      </c>
      <c r="E113" s="275">
        <v>2616</v>
      </c>
      <c r="F113" s="287">
        <v>7.8</v>
      </c>
      <c r="G113" s="287">
        <v>7.6</v>
      </c>
      <c r="H113" s="285">
        <v>-0.721</v>
      </c>
      <c r="I113" s="285">
        <v>-0.013</v>
      </c>
      <c r="J113" s="287">
        <v>32</v>
      </c>
      <c r="K113" s="287">
        <v>31.3</v>
      </c>
      <c r="L113" s="288">
        <v>5.44</v>
      </c>
      <c r="M113" s="287">
        <v>90.4</v>
      </c>
      <c r="N113" s="296">
        <v>3.8</v>
      </c>
    </row>
    <row r="114" spans="1:14" ht="12">
      <c r="A114" s="275">
        <v>112</v>
      </c>
      <c r="B114" s="296">
        <v>3.82</v>
      </c>
      <c r="C114" s="275">
        <v>2716</v>
      </c>
      <c r="D114" s="275">
        <v>2649</v>
      </c>
      <c r="E114" s="275">
        <v>2631</v>
      </c>
      <c r="F114" s="287">
        <v>7.8</v>
      </c>
      <c r="G114" s="287">
        <v>7.6</v>
      </c>
      <c r="H114" s="285">
        <v>-0.732</v>
      </c>
      <c r="I114" s="285">
        <v>-0.17</v>
      </c>
      <c r="J114" s="287">
        <v>32.1</v>
      </c>
      <c r="K114" s="287">
        <v>31.3</v>
      </c>
      <c r="L114" s="288">
        <v>5.44</v>
      </c>
      <c r="M114" s="287">
        <v>90.1</v>
      </c>
      <c r="N114" s="296">
        <v>3.82</v>
      </c>
    </row>
    <row r="115" spans="1:14" ht="12">
      <c r="A115" s="275">
        <v>113</v>
      </c>
      <c r="B115" s="296">
        <v>3.84</v>
      </c>
      <c r="C115" s="275">
        <v>2731</v>
      </c>
      <c r="D115" s="275">
        <v>2665</v>
      </c>
      <c r="E115" s="275">
        <v>2646</v>
      </c>
      <c r="F115" s="287">
        <v>7.8</v>
      </c>
      <c r="G115" s="287">
        <v>7.6</v>
      </c>
      <c r="H115" s="285">
        <v>-0.743</v>
      </c>
      <c r="I115" s="285">
        <v>-0.022</v>
      </c>
      <c r="J115" s="287">
        <v>32.2</v>
      </c>
      <c r="K115" s="287">
        <v>31.4</v>
      </c>
      <c r="L115" s="288">
        <v>5.43</v>
      </c>
      <c r="M115" s="287">
        <v>89.8</v>
      </c>
      <c r="N115" s="296">
        <v>3.84</v>
      </c>
    </row>
    <row r="116" spans="1:14" ht="12">
      <c r="A116" s="275">
        <v>114</v>
      </c>
      <c r="B116" s="296">
        <v>3.86</v>
      </c>
      <c r="C116" s="275">
        <v>2747</v>
      </c>
      <c r="D116" s="275">
        <v>2680</v>
      </c>
      <c r="E116" s="275">
        <v>2661</v>
      </c>
      <c r="F116" s="287">
        <v>7.8</v>
      </c>
      <c r="G116" s="287">
        <v>7.6</v>
      </c>
      <c r="H116" s="285">
        <v>-0.754</v>
      </c>
      <c r="I116" s="285">
        <v>-0.027</v>
      </c>
      <c r="J116" s="287">
        <v>32.3</v>
      </c>
      <c r="K116" s="287">
        <v>31.5</v>
      </c>
      <c r="L116" s="288">
        <v>5.43</v>
      </c>
      <c r="M116" s="287">
        <v>89.5</v>
      </c>
      <c r="N116" s="296">
        <v>3.86</v>
      </c>
    </row>
    <row r="117" spans="1:14" ht="12">
      <c r="A117" s="275">
        <v>115</v>
      </c>
      <c r="B117" s="296">
        <v>3.88</v>
      </c>
      <c r="C117" s="275">
        <v>2762</v>
      </c>
      <c r="D117" s="275">
        <v>2695</v>
      </c>
      <c r="E117" s="275">
        <v>2676</v>
      </c>
      <c r="F117" s="287">
        <v>7.8</v>
      </c>
      <c r="G117" s="287">
        <v>7.6</v>
      </c>
      <c r="H117" s="285">
        <v>-0.765</v>
      </c>
      <c r="I117" s="285">
        <v>-0.031</v>
      </c>
      <c r="J117" s="287">
        <v>32.3</v>
      </c>
      <c r="K117" s="287">
        <v>31.5</v>
      </c>
      <c r="L117" s="288">
        <v>5.42</v>
      </c>
      <c r="M117" s="287">
        <v>89.2</v>
      </c>
      <c r="N117" s="296">
        <v>3.88</v>
      </c>
    </row>
    <row r="118" spans="1:14" ht="12">
      <c r="A118" s="275">
        <v>116</v>
      </c>
      <c r="B118" s="296">
        <v>3.9</v>
      </c>
      <c r="C118" s="275">
        <v>2778</v>
      </c>
      <c r="D118" s="275">
        <v>2710</v>
      </c>
      <c r="E118" s="275">
        <v>2692</v>
      </c>
      <c r="F118" s="287">
        <v>7.8</v>
      </c>
      <c r="G118" s="287">
        <v>7.6</v>
      </c>
      <c r="H118" s="285">
        <v>-0.777</v>
      </c>
      <c r="I118" s="285">
        <v>-0.036</v>
      </c>
      <c r="J118" s="287">
        <v>32.4</v>
      </c>
      <c r="K118" s="287">
        <v>31.6</v>
      </c>
      <c r="L118" s="288">
        <v>5.42</v>
      </c>
      <c r="M118" s="287">
        <v>89</v>
      </c>
      <c r="N118" s="296">
        <v>3.9</v>
      </c>
    </row>
    <row r="119" spans="1:14" ht="12">
      <c r="A119" s="275">
        <v>117</v>
      </c>
      <c r="B119" s="296">
        <v>3.92</v>
      </c>
      <c r="C119" s="275">
        <v>2794</v>
      </c>
      <c r="D119" s="275">
        <v>2726</v>
      </c>
      <c r="E119" s="275">
        <v>2707</v>
      </c>
      <c r="F119" s="287">
        <v>7.8</v>
      </c>
      <c r="G119" s="287">
        <v>7.6</v>
      </c>
      <c r="H119" s="285">
        <v>-0.788</v>
      </c>
      <c r="I119" s="285">
        <v>-0.041</v>
      </c>
      <c r="J119" s="287">
        <v>32.5</v>
      </c>
      <c r="K119" s="287">
        <v>31.7</v>
      </c>
      <c r="L119" s="288">
        <v>5.41</v>
      </c>
      <c r="M119" s="287">
        <v>88.7</v>
      </c>
      <c r="N119" s="296">
        <v>3.92</v>
      </c>
    </row>
    <row r="120" spans="1:14" ht="12">
      <c r="A120" s="275">
        <v>118</v>
      </c>
      <c r="B120" s="296">
        <v>3.94</v>
      </c>
      <c r="C120" s="275">
        <v>2809</v>
      </c>
      <c r="D120" s="275">
        <v>2741</v>
      </c>
      <c r="E120" s="275">
        <v>2722</v>
      </c>
      <c r="F120" s="287">
        <v>7.8</v>
      </c>
      <c r="G120" s="287">
        <v>7.6</v>
      </c>
      <c r="H120" s="285">
        <v>-0.8</v>
      </c>
      <c r="I120" s="285">
        <v>-0.045</v>
      </c>
      <c r="J120" s="287">
        <v>32.6</v>
      </c>
      <c r="K120" s="287">
        <v>31.8</v>
      </c>
      <c r="L120" s="288">
        <v>5.41</v>
      </c>
      <c r="M120" s="287">
        <v>88.4</v>
      </c>
      <c r="N120" s="296">
        <v>3.94</v>
      </c>
    </row>
    <row r="121" spans="1:14" ht="12">
      <c r="A121" s="275">
        <v>119</v>
      </c>
      <c r="B121" s="296">
        <v>3.96</v>
      </c>
      <c r="C121" s="275">
        <v>2825</v>
      </c>
      <c r="D121" s="275">
        <v>2756</v>
      </c>
      <c r="E121" s="275">
        <v>2737</v>
      </c>
      <c r="F121" s="287">
        <v>7.8</v>
      </c>
      <c r="G121" s="287">
        <v>7.6</v>
      </c>
      <c r="H121" s="285">
        <v>-0.811</v>
      </c>
      <c r="I121" s="285">
        <v>-0.05</v>
      </c>
      <c r="J121" s="287">
        <v>32.6</v>
      </c>
      <c r="K121" s="287">
        <v>31.9</v>
      </c>
      <c r="L121" s="288">
        <v>5.41</v>
      </c>
      <c r="M121" s="287">
        <v>88.2</v>
      </c>
      <c r="N121" s="296">
        <v>3.96</v>
      </c>
    </row>
    <row r="122" spans="1:14" ht="12">
      <c r="A122" s="275">
        <v>120</v>
      </c>
      <c r="B122" s="296">
        <v>3.98</v>
      </c>
      <c r="C122" s="275">
        <v>2841</v>
      </c>
      <c r="D122" s="275">
        <v>2771</v>
      </c>
      <c r="E122" s="275">
        <v>2752</v>
      </c>
      <c r="F122" s="287">
        <v>7.8</v>
      </c>
      <c r="G122" s="287">
        <v>7.6</v>
      </c>
      <c r="H122" s="285">
        <v>-0.823</v>
      </c>
      <c r="I122" s="285">
        <v>-0.054</v>
      </c>
      <c r="J122" s="287">
        <v>32.7</v>
      </c>
      <c r="K122" s="287">
        <v>31.9</v>
      </c>
      <c r="L122" s="288">
        <v>5.4</v>
      </c>
      <c r="M122" s="287">
        <v>87.9</v>
      </c>
      <c r="N122" s="296">
        <v>3.98</v>
      </c>
    </row>
    <row r="123" spans="1:14" ht="12">
      <c r="A123" s="275">
        <v>121</v>
      </c>
      <c r="B123" s="812">
        <v>4</v>
      </c>
      <c r="C123" s="275">
        <v>2856</v>
      </c>
      <c r="D123" s="275">
        <v>2787</v>
      </c>
      <c r="E123" s="275">
        <v>2768</v>
      </c>
      <c r="F123" s="287">
        <v>7.8</v>
      </c>
      <c r="G123" s="287">
        <v>7.7</v>
      </c>
      <c r="H123" s="285">
        <v>-0.835</v>
      </c>
      <c r="I123" s="285">
        <v>-0.059</v>
      </c>
      <c r="J123" s="287">
        <v>32.8</v>
      </c>
      <c r="K123" s="287">
        <v>32</v>
      </c>
      <c r="L123" s="288">
        <v>5.4</v>
      </c>
      <c r="M123" s="287">
        <v>87.7</v>
      </c>
      <c r="N123" s="296">
        <v>4</v>
      </c>
    </row>
    <row r="124" spans="1:14" ht="12">
      <c r="A124" s="275">
        <v>122</v>
      </c>
      <c r="B124" s="296">
        <v>4.02</v>
      </c>
      <c r="C124" s="275">
        <v>2872</v>
      </c>
      <c r="D124" s="275">
        <v>2802</v>
      </c>
      <c r="E124" s="275">
        <v>2783</v>
      </c>
      <c r="F124" s="287">
        <v>7.9</v>
      </c>
      <c r="G124" s="287">
        <v>7.7</v>
      </c>
      <c r="H124" s="285">
        <v>-0.847</v>
      </c>
      <c r="I124" s="285">
        <v>-0.064</v>
      </c>
      <c r="J124" s="287">
        <v>32.9</v>
      </c>
      <c r="K124" s="287">
        <v>32.1</v>
      </c>
      <c r="L124" s="288">
        <v>5.4</v>
      </c>
      <c r="M124" s="287">
        <v>87.4</v>
      </c>
      <c r="N124" s="296">
        <v>4.02</v>
      </c>
    </row>
    <row r="125" spans="1:14" ht="12">
      <c r="A125" s="275">
        <v>123</v>
      </c>
      <c r="B125" s="296">
        <v>4.04</v>
      </c>
      <c r="C125" s="275">
        <v>2888</v>
      </c>
      <c r="D125" s="275">
        <v>2817</v>
      </c>
      <c r="E125" s="275">
        <v>2798</v>
      </c>
      <c r="F125" s="287">
        <v>7.9</v>
      </c>
      <c r="G125" s="287">
        <v>7.7</v>
      </c>
      <c r="H125" s="285">
        <v>-0.858</v>
      </c>
      <c r="I125" s="285">
        <v>-0.068</v>
      </c>
      <c r="J125" s="287">
        <v>33</v>
      </c>
      <c r="K125" s="287">
        <v>32.2</v>
      </c>
      <c r="L125" s="288">
        <v>5.39</v>
      </c>
      <c r="M125" s="287">
        <v>87.2</v>
      </c>
      <c r="N125" s="296">
        <v>4.04</v>
      </c>
    </row>
    <row r="126" spans="1:14" ht="12">
      <c r="A126" s="275">
        <v>124</v>
      </c>
      <c r="B126" s="296">
        <v>4.06</v>
      </c>
      <c r="C126" s="275">
        <v>2904</v>
      </c>
      <c r="D126" s="275">
        <v>2833</v>
      </c>
      <c r="E126" s="275">
        <v>2814</v>
      </c>
      <c r="F126" s="287">
        <v>7.9</v>
      </c>
      <c r="G126" s="287">
        <v>7.7</v>
      </c>
      <c r="H126" s="285">
        <v>-0.87</v>
      </c>
      <c r="I126" s="285">
        <v>-0.073</v>
      </c>
      <c r="J126" s="287">
        <v>33.1</v>
      </c>
      <c r="K126" s="287">
        <v>32.2</v>
      </c>
      <c r="L126" s="288">
        <v>5.39</v>
      </c>
      <c r="M126" s="287">
        <v>86.9</v>
      </c>
      <c r="N126" s="296">
        <v>4.06</v>
      </c>
    </row>
    <row r="127" spans="1:14" ht="12">
      <c r="A127" s="275">
        <v>125</v>
      </c>
      <c r="B127" s="296">
        <v>4.08</v>
      </c>
      <c r="C127" s="275">
        <v>2919</v>
      </c>
      <c r="D127" s="275">
        <v>2848</v>
      </c>
      <c r="E127" s="275">
        <v>2829</v>
      </c>
      <c r="F127" s="287">
        <v>7.9</v>
      </c>
      <c r="G127" s="287">
        <v>7.7</v>
      </c>
      <c r="H127" s="285">
        <v>-0.882</v>
      </c>
      <c r="I127" s="285">
        <v>-0.078</v>
      </c>
      <c r="J127" s="287">
        <v>33.1</v>
      </c>
      <c r="K127" s="287">
        <v>32.3</v>
      </c>
      <c r="L127" s="288">
        <v>5.39</v>
      </c>
      <c r="M127" s="287">
        <v>86.7</v>
      </c>
      <c r="N127" s="296">
        <v>4.08</v>
      </c>
    </row>
    <row r="128" spans="1:14" ht="12">
      <c r="A128" s="275">
        <v>126</v>
      </c>
      <c r="B128" s="296">
        <v>4.1</v>
      </c>
      <c r="C128" s="275">
        <v>2935</v>
      </c>
      <c r="D128" s="275">
        <v>2864</v>
      </c>
      <c r="E128" s="275">
        <v>2844</v>
      </c>
      <c r="F128" s="287">
        <v>7.9</v>
      </c>
      <c r="G128" s="287">
        <v>7.7</v>
      </c>
      <c r="H128" s="285">
        <v>-0.894</v>
      </c>
      <c r="I128" s="285">
        <v>-0.083</v>
      </c>
      <c r="J128" s="287">
        <v>33.2</v>
      </c>
      <c r="K128" s="287">
        <v>32.4</v>
      </c>
      <c r="L128" s="288">
        <v>5.38</v>
      </c>
      <c r="M128" s="287">
        <v>86.5</v>
      </c>
      <c r="N128" s="296">
        <v>4.1</v>
      </c>
    </row>
    <row r="129" spans="1:14" ht="12">
      <c r="A129" s="275">
        <v>127</v>
      </c>
      <c r="B129" s="296">
        <v>4.12</v>
      </c>
      <c r="C129" s="275">
        <v>2951</v>
      </c>
      <c r="D129" s="275">
        <v>2879</v>
      </c>
      <c r="E129" s="275">
        <v>2860</v>
      </c>
      <c r="F129" s="287">
        <v>7.9</v>
      </c>
      <c r="G129" s="287">
        <v>7.7</v>
      </c>
      <c r="H129" s="285">
        <v>-0.906</v>
      </c>
      <c r="I129" s="285">
        <v>-0.088</v>
      </c>
      <c r="J129" s="287">
        <v>33.3</v>
      </c>
      <c r="K129" s="287">
        <v>32.5</v>
      </c>
      <c r="L129" s="288">
        <v>5.38</v>
      </c>
      <c r="M129" s="287">
        <v>86.2</v>
      </c>
      <c r="N129" s="296">
        <v>4.12</v>
      </c>
    </row>
    <row r="130" spans="1:14" ht="12">
      <c r="A130" s="275">
        <v>128</v>
      </c>
      <c r="B130" s="296">
        <v>4.14</v>
      </c>
      <c r="C130" s="275">
        <v>2967</v>
      </c>
      <c r="D130" s="275">
        <v>2895</v>
      </c>
      <c r="E130" s="275">
        <v>2875</v>
      </c>
      <c r="F130" s="287">
        <v>7.9</v>
      </c>
      <c r="G130" s="287">
        <v>7.7</v>
      </c>
      <c r="H130" s="285">
        <v>-0.918</v>
      </c>
      <c r="I130" s="285">
        <v>-0.092</v>
      </c>
      <c r="J130" s="287">
        <v>33.4</v>
      </c>
      <c r="K130" s="287">
        <v>32.6</v>
      </c>
      <c r="L130" s="288">
        <v>5.38</v>
      </c>
      <c r="M130" s="287">
        <v>86</v>
      </c>
      <c r="N130" s="296">
        <v>4.14</v>
      </c>
    </row>
    <row r="131" spans="1:14" ht="12">
      <c r="A131" s="275">
        <v>129</v>
      </c>
      <c r="B131" s="296">
        <v>4.16</v>
      </c>
      <c r="C131" s="275">
        <v>2983</v>
      </c>
      <c r="D131" s="275">
        <v>2910</v>
      </c>
      <c r="E131" s="275">
        <v>2890</v>
      </c>
      <c r="F131" s="287">
        <v>7.9</v>
      </c>
      <c r="G131" s="287">
        <v>7.7</v>
      </c>
      <c r="H131" s="285">
        <v>-0.93</v>
      </c>
      <c r="I131" s="285">
        <v>-0.097</v>
      </c>
      <c r="J131" s="287">
        <v>33.5</v>
      </c>
      <c r="K131" s="287">
        <v>32.7</v>
      </c>
      <c r="L131" s="288">
        <v>5.37</v>
      </c>
      <c r="M131" s="287">
        <v>85.8</v>
      </c>
      <c r="N131" s="296">
        <v>4.16</v>
      </c>
    </row>
    <row r="132" spans="1:14" ht="12">
      <c r="A132" s="275">
        <v>130</v>
      </c>
      <c r="B132" s="296">
        <v>4.18</v>
      </c>
      <c r="C132" s="275">
        <v>2999</v>
      </c>
      <c r="D132" s="275">
        <v>2925</v>
      </c>
      <c r="E132" s="275">
        <v>2906</v>
      </c>
      <c r="F132" s="318">
        <v>7.9</v>
      </c>
      <c r="G132" s="287">
        <v>7.7</v>
      </c>
      <c r="H132" s="285">
        <v>-0.942</v>
      </c>
      <c r="I132" s="285">
        <v>-0.102</v>
      </c>
      <c r="J132" s="287">
        <v>33.6</v>
      </c>
      <c r="K132" s="287">
        <v>32.7</v>
      </c>
      <c r="L132" s="288">
        <v>5.37</v>
      </c>
      <c r="M132" s="287">
        <v>85.6</v>
      </c>
      <c r="N132" s="296">
        <v>4.18</v>
      </c>
    </row>
    <row r="133" spans="1:14" ht="12">
      <c r="A133" s="275">
        <v>131</v>
      </c>
      <c r="B133" s="296">
        <v>4.2</v>
      </c>
      <c r="C133" s="275">
        <v>3014</v>
      </c>
      <c r="D133" s="275">
        <v>2941</v>
      </c>
      <c r="E133" s="275">
        <v>2921</v>
      </c>
      <c r="F133" s="287">
        <v>7.9</v>
      </c>
      <c r="G133" s="287">
        <v>7.7</v>
      </c>
      <c r="H133" s="285">
        <v>-0.954</v>
      </c>
      <c r="I133" s="285">
        <v>-0.107</v>
      </c>
      <c r="J133" s="287">
        <v>33.6</v>
      </c>
      <c r="K133" s="287">
        <v>32.8</v>
      </c>
      <c r="L133" s="288">
        <v>5.37</v>
      </c>
      <c r="M133" s="287">
        <v>85.3</v>
      </c>
      <c r="N133" s="296">
        <v>4.2</v>
      </c>
    </row>
    <row r="134" spans="1:14" ht="12">
      <c r="A134" s="275">
        <v>132</v>
      </c>
      <c r="B134" s="296">
        <v>4.22</v>
      </c>
      <c r="C134" s="275">
        <v>3030</v>
      </c>
      <c r="D134" s="275">
        <v>2956</v>
      </c>
      <c r="E134" s="275">
        <v>2937</v>
      </c>
      <c r="F134" s="287">
        <v>7.9</v>
      </c>
      <c r="G134" s="287">
        <v>7.7</v>
      </c>
      <c r="H134" s="285">
        <v>-0.966</v>
      </c>
      <c r="I134" s="285">
        <v>-0.111</v>
      </c>
      <c r="J134" s="287">
        <v>33.7</v>
      </c>
      <c r="K134" s="287">
        <v>32.9</v>
      </c>
      <c r="L134" s="288">
        <v>5.37</v>
      </c>
      <c r="M134" s="287">
        <v>85.1</v>
      </c>
      <c r="N134" s="296">
        <v>4.22</v>
      </c>
    </row>
    <row r="135" spans="1:14" ht="12">
      <c r="A135" s="275">
        <v>133</v>
      </c>
      <c r="B135" s="296">
        <v>4.24</v>
      </c>
      <c r="C135" s="275">
        <v>3046</v>
      </c>
      <c r="D135" s="275">
        <v>2972</v>
      </c>
      <c r="E135" s="275">
        <v>2952</v>
      </c>
      <c r="F135" s="287">
        <v>7.9</v>
      </c>
      <c r="G135" s="287">
        <v>7.7</v>
      </c>
      <c r="H135" s="285">
        <v>-0.979</v>
      </c>
      <c r="I135" s="285">
        <v>-0.116</v>
      </c>
      <c r="J135" s="287">
        <v>33.8</v>
      </c>
      <c r="K135" s="287">
        <v>33</v>
      </c>
      <c r="L135" s="288">
        <v>5.37</v>
      </c>
      <c r="M135" s="287">
        <v>84.9</v>
      </c>
      <c r="N135" s="296">
        <v>4.24</v>
      </c>
    </row>
    <row r="136" spans="1:14" ht="12">
      <c r="A136" s="275">
        <v>134</v>
      </c>
      <c r="B136" s="296">
        <v>4.26</v>
      </c>
      <c r="C136" s="275">
        <v>3062</v>
      </c>
      <c r="D136" s="275">
        <v>2987</v>
      </c>
      <c r="E136" s="275">
        <v>2967</v>
      </c>
      <c r="F136" s="287">
        <v>7.9</v>
      </c>
      <c r="G136" s="287">
        <v>7.7</v>
      </c>
      <c r="H136" s="285">
        <v>-0.993</v>
      </c>
      <c r="I136" s="285">
        <v>-0.121</v>
      </c>
      <c r="J136" s="287">
        <v>33.9</v>
      </c>
      <c r="K136" s="287">
        <v>33.1</v>
      </c>
      <c r="L136" s="288">
        <v>5.36</v>
      </c>
      <c r="M136" s="287">
        <v>84.7</v>
      </c>
      <c r="N136" s="296">
        <v>4.26</v>
      </c>
    </row>
    <row r="137" spans="1:14" ht="12">
      <c r="A137" s="275">
        <v>135</v>
      </c>
      <c r="B137" s="296">
        <v>4.28</v>
      </c>
      <c r="C137" s="275">
        <v>3078</v>
      </c>
      <c r="D137" s="275">
        <v>3003</v>
      </c>
      <c r="E137" s="275">
        <v>2983</v>
      </c>
      <c r="F137" s="287">
        <v>7.9</v>
      </c>
      <c r="G137" s="287">
        <v>7.8</v>
      </c>
      <c r="H137" s="285">
        <v>-1.008</v>
      </c>
      <c r="I137" s="285">
        <v>-0.126</v>
      </c>
      <c r="J137" s="287">
        <v>34</v>
      </c>
      <c r="K137" s="287">
        <v>33.2</v>
      </c>
      <c r="L137" s="288">
        <v>5.36</v>
      </c>
      <c r="M137" s="287">
        <v>84.5</v>
      </c>
      <c r="N137" s="296">
        <v>4.28</v>
      </c>
    </row>
    <row r="138" spans="1:14" ht="12">
      <c r="A138" s="275">
        <v>136</v>
      </c>
      <c r="B138" s="296">
        <v>4.3</v>
      </c>
      <c r="C138" s="275">
        <v>3094</v>
      </c>
      <c r="D138" s="275">
        <v>3018</v>
      </c>
      <c r="E138" s="275">
        <v>2998</v>
      </c>
      <c r="F138" s="287">
        <v>8</v>
      </c>
      <c r="G138" s="287">
        <v>7.8</v>
      </c>
      <c r="H138" s="285">
        <v>-1.022</v>
      </c>
      <c r="I138" s="285">
        <v>-0.131</v>
      </c>
      <c r="J138" s="287">
        <v>34.1</v>
      </c>
      <c r="K138" s="287">
        <v>33.3</v>
      </c>
      <c r="L138" s="288">
        <v>5.36</v>
      </c>
      <c r="M138" s="287">
        <v>84.4</v>
      </c>
      <c r="N138" s="296">
        <v>4.3</v>
      </c>
    </row>
    <row r="139" spans="1:14" ht="12">
      <c r="A139" s="275">
        <v>137</v>
      </c>
      <c r="B139" s="296">
        <v>4.32</v>
      </c>
      <c r="C139" s="275">
        <v>3110</v>
      </c>
      <c r="D139" s="275">
        <v>3034</v>
      </c>
      <c r="E139" s="275">
        <v>3014</v>
      </c>
      <c r="F139" s="287">
        <v>8</v>
      </c>
      <c r="G139" s="287">
        <v>7.8</v>
      </c>
      <c r="H139" s="285">
        <v>-1.036</v>
      </c>
      <c r="I139" s="285">
        <v>-0.136</v>
      </c>
      <c r="J139" s="287">
        <v>34.2</v>
      </c>
      <c r="K139" s="287">
        <v>33.4</v>
      </c>
      <c r="L139" s="288">
        <v>5.36</v>
      </c>
      <c r="M139" s="287">
        <v>84.2</v>
      </c>
      <c r="N139" s="296">
        <v>4.32</v>
      </c>
    </row>
    <row r="140" spans="1:14" ht="12">
      <c r="A140" s="275">
        <v>138</v>
      </c>
      <c r="B140" s="296">
        <v>4.340000000000005</v>
      </c>
      <c r="C140" s="275">
        <v>3126</v>
      </c>
      <c r="D140" s="275">
        <v>3050</v>
      </c>
      <c r="E140" s="275">
        <v>3029</v>
      </c>
      <c r="F140" s="287">
        <v>8</v>
      </c>
      <c r="G140" s="287">
        <v>7.8</v>
      </c>
      <c r="H140" s="285">
        <v>-1.051</v>
      </c>
      <c r="I140" s="285">
        <v>-0.141</v>
      </c>
      <c r="J140" s="287">
        <v>34.3</v>
      </c>
      <c r="K140" s="287">
        <v>33.5</v>
      </c>
      <c r="L140" s="288">
        <v>5.36</v>
      </c>
      <c r="M140" s="287">
        <v>84</v>
      </c>
      <c r="N140" s="296">
        <v>4.340000000000005</v>
      </c>
    </row>
    <row r="141" spans="1:14" ht="12">
      <c r="A141" s="275">
        <v>139</v>
      </c>
      <c r="B141" s="296">
        <v>4.3600000000000065</v>
      </c>
      <c r="C141" s="275">
        <v>3142</v>
      </c>
      <c r="D141" s="275">
        <v>3065</v>
      </c>
      <c r="E141" s="275">
        <v>3045</v>
      </c>
      <c r="F141" s="287">
        <v>8</v>
      </c>
      <c r="G141" s="287">
        <v>7.8</v>
      </c>
      <c r="H141" s="285">
        <v>-1.066</v>
      </c>
      <c r="I141" s="285">
        <v>-0.146</v>
      </c>
      <c r="J141" s="287">
        <v>34.4</v>
      </c>
      <c r="K141" s="287">
        <v>33.6</v>
      </c>
      <c r="L141" s="288">
        <v>5.36</v>
      </c>
      <c r="M141" s="287">
        <v>83.8</v>
      </c>
      <c r="N141" s="296">
        <v>4.3600000000000065</v>
      </c>
    </row>
    <row r="142" spans="1:14" ht="12">
      <c r="A142" s="275">
        <v>140</v>
      </c>
      <c r="B142" s="296">
        <v>4.380000000000007</v>
      </c>
      <c r="C142" s="275">
        <v>3158</v>
      </c>
      <c r="D142" s="275">
        <v>3081</v>
      </c>
      <c r="E142" s="275">
        <v>3061</v>
      </c>
      <c r="F142" s="287">
        <v>8</v>
      </c>
      <c r="G142" s="287">
        <v>7.8</v>
      </c>
      <c r="H142" s="285">
        <v>-1.081</v>
      </c>
      <c r="I142" s="285">
        <v>-0.151</v>
      </c>
      <c r="J142" s="287">
        <v>34.5</v>
      </c>
      <c r="K142" s="287">
        <v>33.7</v>
      </c>
      <c r="L142" s="288">
        <v>5.35</v>
      </c>
      <c r="M142" s="287">
        <v>83.7</v>
      </c>
      <c r="N142" s="296">
        <v>4.380000000000007</v>
      </c>
    </row>
    <row r="143" spans="1:14" ht="12">
      <c r="A143" s="275">
        <v>141</v>
      </c>
      <c r="B143" s="296">
        <v>4.4000000000000075</v>
      </c>
      <c r="C143" s="275">
        <v>3174</v>
      </c>
      <c r="D143" s="275">
        <v>3096</v>
      </c>
      <c r="E143" s="275">
        <v>3076</v>
      </c>
      <c r="F143" s="287">
        <v>8</v>
      </c>
      <c r="G143" s="287">
        <v>7.8</v>
      </c>
      <c r="H143" s="285">
        <v>-1.096</v>
      </c>
      <c r="I143" s="285">
        <v>-0.157</v>
      </c>
      <c r="J143" s="287">
        <v>34.6</v>
      </c>
      <c r="K143" s="287">
        <v>33.8</v>
      </c>
      <c r="L143" s="288">
        <v>5.35</v>
      </c>
      <c r="M143" s="287">
        <v>83.5</v>
      </c>
      <c r="N143" s="296">
        <v>4.4000000000000075</v>
      </c>
    </row>
    <row r="144" spans="1:14" ht="12">
      <c r="A144" s="275">
        <v>142</v>
      </c>
      <c r="B144" s="296">
        <v>4.420000000000008</v>
      </c>
      <c r="C144" s="275">
        <v>3190</v>
      </c>
      <c r="D144" s="275">
        <v>3112</v>
      </c>
      <c r="E144" s="275">
        <v>3092</v>
      </c>
      <c r="F144" s="287">
        <v>8</v>
      </c>
      <c r="G144" s="287">
        <v>7.8</v>
      </c>
      <c r="H144" s="285">
        <v>-1.11</v>
      </c>
      <c r="I144" s="285">
        <v>-0.162</v>
      </c>
      <c r="J144" s="287">
        <v>34.7</v>
      </c>
      <c r="K144" s="287">
        <v>33.9</v>
      </c>
      <c r="L144" s="288">
        <v>5.35</v>
      </c>
      <c r="M144" s="287">
        <v>83.3</v>
      </c>
      <c r="N144" s="296">
        <v>4.420000000000008</v>
      </c>
    </row>
    <row r="145" spans="1:14" ht="12">
      <c r="A145" s="275">
        <v>143</v>
      </c>
      <c r="B145" s="296">
        <v>4.440000000000008</v>
      </c>
      <c r="C145" s="275">
        <v>3206</v>
      </c>
      <c r="D145" s="275">
        <v>3128</v>
      </c>
      <c r="E145" s="275">
        <v>3107</v>
      </c>
      <c r="F145" s="287">
        <v>8</v>
      </c>
      <c r="G145" s="287">
        <v>7.8</v>
      </c>
      <c r="H145" s="285">
        <v>-1.123</v>
      </c>
      <c r="I145" s="285">
        <v>-0.167</v>
      </c>
      <c r="J145" s="287">
        <v>34.8</v>
      </c>
      <c r="K145" s="287">
        <v>34</v>
      </c>
      <c r="L145" s="288">
        <v>5.35</v>
      </c>
      <c r="M145" s="287">
        <v>83.2</v>
      </c>
      <c r="N145" s="296">
        <v>4.440000000000008</v>
      </c>
    </row>
    <row r="146" spans="1:14" ht="12">
      <c r="A146" s="275">
        <v>144</v>
      </c>
      <c r="B146" s="296">
        <v>4.460000000000009</v>
      </c>
      <c r="C146" s="275">
        <v>3222</v>
      </c>
      <c r="D146" s="275">
        <v>3143</v>
      </c>
      <c r="E146" s="275">
        <v>3123</v>
      </c>
      <c r="F146" s="287">
        <v>8</v>
      </c>
      <c r="G146" s="287">
        <v>7.8</v>
      </c>
      <c r="H146" s="285">
        <v>-1.139</v>
      </c>
      <c r="I146" s="285">
        <v>-0.172</v>
      </c>
      <c r="J146" s="287">
        <v>34.9</v>
      </c>
      <c r="K146" s="287">
        <v>34.1</v>
      </c>
      <c r="L146" s="288">
        <v>5.35</v>
      </c>
      <c r="M146" s="287">
        <v>83</v>
      </c>
      <c r="N146" s="296">
        <v>4.460000000000009</v>
      </c>
    </row>
    <row r="147" spans="1:14" ht="12">
      <c r="A147" s="275">
        <v>145</v>
      </c>
      <c r="B147" s="296">
        <v>4.480000000000009</v>
      </c>
      <c r="C147" s="275">
        <v>3238</v>
      </c>
      <c r="D147" s="275">
        <v>3159</v>
      </c>
      <c r="E147" s="275">
        <v>3138</v>
      </c>
      <c r="F147" s="287">
        <v>8</v>
      </c>
      <c r="G147" s="287">
        <v>7.8</v>
      </c>
      <c r="H147" s="285">
        <v>-1.154</v>
      </c>
      <c r="I147" s="285">
        <v>-0.177</v>
      </c>
      <c r="J147" s="287">
        <v>35</v>
      </c>
      <c r="K147" s="287">
        <v>34.2</v>
      </c>
      <c r="L147" s="288">
        <v>5.35</v>
      </c>
      <c r="M147" s="287">
        <v>82.9</v>
      </c>
      <c r="N147" s="296">
        <v>4.480000000000009</v>
      </c>
    </row>
    <row r="148" spans="1:14" ht="12">
      <c r="A148" s="275">
        <v>146</v>
      </c>
      <c r="B148" s="296">
        <v>4.50000000000001</v>
      </c>
      <c r="C148" s="275">
        <v>3254</v>
      </c>
      <c r="D148" s="275">
        <v>3175</v>
      </c>
      <c r="E148" s="275">
        <v>3154</v>
      </c>
      <c r="F148" s="287">
        <v>8</v>
      </c>
      <c r="G148" s="287">
        <v>7.8</v>
      </c>
      <c r="H148" s="285">
        <v>-1.168</v>
      </c>
      <c r="I148" s="285">
        <v>-0.182</v>
      </c>
      <c r="J148" s="287">
        <v>35.1</v>
      </c>
      <c r="K148" s="287">
        <v>34.2</v>
      </c>
      <c r="L148" s="288">
        <v>5.35</v>
      </c>
      <c r="M148" s="287">
        <v>82.7</v>
      </c>
      <c r="N148" s="296">
        <v>4.50000000000001</v>
      </c>
    </row>
    <row r="149" spans="1:14" ht="12">
      <c r="A149" s="275">
        <v>147</v>
      </c>
      <c r="B149" s="296">
        <v>4.52000000000001</v>
      </c>
      <c r="C149" s="275">
        <v>3270</v>
      </c>
      <c r="D149" s="275">
        <v>3190</v>
      </c>
      <c r="E149" s="275">
        <v>3170</v>
      </c>
      <c r="F149" s="287">
        <v>8</v>
      </c>
      <c r="G149" s="287">
        <v>7.8</v>
      </c>
      <c r="H149" s="285">
        <v>-1.181</v>
      </c>
      <c r="I149" s="285">
        <v>-0.187</v>
      </c>
      <c r="J149" s="287">
        <v>35.2</v>
      </c>
      <c r="K149" s="287">
        <v>34.3</v>
      </c>
      <c r="L149" s="288">
        <v>5.35</v>
      </c>
      <c r="M149" s="287">
        <v>82.5</v>
      </c>
      <c r="N149" s="296">
        <v>4.52000000000001</v>
      </c>
    </row>
    <row r="150" spans="1:14" ht="12">
      <c r="A150" s="275">
        <v>148</v>
      </c>
      <c r="B150" s="296">
        <v>4.540000000000011</v>
      </c>
      <c r="C150" s="275">
        <v>3286</v>
      </c>
      <c r="D150" s="275">
        <v>3206</v>
      </c>
      <c r="E150" s="275">
        <v>3185</v>
      </c>
      <c r="F150" s="287">
        <v>8.1</v>
      </c>
      <c r="G150" s="287">
        <v>7.9</v>
      </c>
      <c r="H150" s="285">
        <v>-1.195</v>
      </c>
      <c r="I150" s="285">
        <v>-0.192</v>
      </c>
      <c r="J150" s="287">
        <v>35.3</v>
      </c>
      <c r="K150" s="287">
        <v>34.4</v>
      </c>
      <c r="L150" s="288">
        <v>5.35</v>
      </c>
      <c r="M150" s="287">
        <v>82.4</v>
      </c>
      <c r="N150" s="296">
        <v>4.540000000000011</v>
      </c>
    </row>
    <row r="151" spans="1:14" ht="12">
      <c r="A151" s="275">
        <v>149</v>
      </c>
      <c r="B151" s="296">
        <v>4.560000000000011</v>
      </c>
      <c r="C151" s="275">
        <v>3302</v>
      </c>
      <c r="D151" s="275">
        <v>3222</v>
      </c>
      <c r="E151" s="275">
        <v>3201</v>
      </c>
      <c r="F151" s="287">
        <v>8.1</v>
      </c>
      <c r="G151" s="287">
        <v>7.9</v>
      </c>
      <c r="H151" s="285">
        <v>-1.208</v>
      </c>
      <c r="I151" s="285">
        <v>-0.197</v>
      </c>
      <c r="J151" s="287">
        <v>35.4</v>
      </c>
      <c r="K151" s="287">
        <v>34.5</v>
      </c>
      <c r="L151" s="288">
        <v>5.35</v>
      </c>
      <c r="M151" s="287">
        <v>82.2</v>
      </c>
      <c r="N151" s="296">
        <v>4.560000000000011</v>
      </c>
    </row>
    <row r="152" spans="1:14" ht="12">
      <c r="A152" s="275">
        <v>150</v>
      </c>
      <c r="B152" s="296">
        <v>4.580000000000012</v>
      </c>
      <c r="C152" s="275">
        <v>3319</v>
      </c>
      <c r="D152" s="275">
        <v>3238</v>
      </c>
      <c r="E152" s="275">
        <v>3217</v>
      </c>
      <c r="F152" s="287">
        <v>8.1</v>
      </c>
      <c r="G152" s="287">
        <v>7.9</v>
      </c>
      <c r="H152" s="285">
        <v>-1.221</v>
      </c>
      <c r="I152" s="285">
        <v>-0.202</v>
      </c>
      <c r="J152" s="287">
        <v>35.5</v>
      </c>
      <c r="K152" s="287">
        <v>34.6</v>
      </c>
      <c r="L152" s="288">
        <v>5.35</v>
      </c>
      <c r="M152" s="287">
        <v>82.1</v>
      </c>
      <c r="N152" s="296">
        <v>4.580000000000012</v>
      </c>
    </row>
    <row r="153" spans="1:14" ht="12">
      <c r="A153" s="275">
        <v>151</v>
      </c>
      <c r="B153" s="296">
        <v>4.600000000000012</v>
      </c>
      <c r="C153" s="275">
        <v>3335</v>
      </c>
      <c r="D153" s="275">
        <v>3253</v>
      </c>
      <c r="E153" s="275">
        <v>3233</v>
      </c>
      <c r="F153" s="287">
        <v>8.1</v>
      </c>
      <c r="G153" s="287">
        <v>7.9</v>
      </c>
      <c r="H153" s="285">
        <v>-1.235</v>
      </c>
      <c r="I153" s="285">
        <v>-0.207</v>
      </c>
      <c r="J153" s="287">
        <v>35.6</v>
      </c>
      <c r="K153" s="287">
        <v>34.7</v>
      </c>
      <c r="L153" s="288">
        <v>5.35</v>
      </c>
      <c r="M153" s="287">
        <v>81.9</v>
      </c>
      <c r="N153" s="296">
        <v>4.600000000000012</v>
      </c>
    </row>
    <row r="154" spans="1:14" ht="12">
      <c r="A154" s="275">
        <v>152</v>
      </c>
      <c r="B154" s="296">
        <v>4.6200000000000125</v>
      </c>
      <c r="C154" s="275">
        <v>3351</v>
      </c>
      <c r="D154" s="275">
        <v>3269</v>
      </c>
      <c r="E154" s="275">
        <v>3248</v>
      </c>
      <c r="F154" s="287">
        <v>8.1</v>
      </c>
      <c r="G154" s="287">
        <v>7.9</v>
      </c>
      <c r="H154" s="285">
        <v>-1.248</v>
      </c>
      <c r="I154" s="285">
        <v>-0.212</v>
      </c>
      <c r="J154" s="287">
        <v>35.7</v>
      </c>
      <c r="K154" s="287">
        <v>34.8</v>
      </c>
      <c r="L154" s="288">
        <v>5.35</v>
      </c>
      <c r="M154" s="287">
        <v>81.7</v>
      </c>
      <c r="N154" s="296">
        <v>4.6200000000000125</v>
      </c>
    </row>
    <row r="155" spans="1:14" ht="12">
      <c r="A155" s="275">
        <v>153</v>
      </c>
      <c r="B155" s="296">
        <v>4.640000000000013</v>
      </c>
      <c r="C155" s="275">
        <v>3367</v>
      </c>
      <c r="D155" s="275">
        <v>3285</v>
      </c>
      <c r="E155" s="275">
        <v>3264</v>
      </c>
      <c r="F155" s="287">
        <v>8.1</v>
      </c>
      <c r="G155" s="287">
        <v>7.9</v>
      </c>
      <c r="H155" s="285">
        <v>-1.261</v>
      </c>
      <c r="I155" s="285">
        <v>-0.217</v>
      </c>
      <c r="J155" s="287">
        <v>35.8</v>
      </c>
      <c r="K155" s="287">
        <v>34.9</v>
      </c>
      <c r="L155" s="288">
        <v>5.35</v>
      </c>
      <c r="M155" s="287">
        <v>81.6</v>
      </c>
      <c r="N155" s="296">
        <v>4.640000000000013</v>
      </c>
    </row>
    <row r="156" spans="1:14" ht="12">
      <c r="A156" s="275">
        <v>154</v>
      </c>
      <c r="B156" s="296">
        <v>4.6600000000000135</v>
      </c>
      <c r="C156" s="275">
        <v>3383</v>
      </c>
      <c r="D156" s="275">
        <v>3301</v>
      </c>
      <c r="E156" s="275">
        <v>3280</v>
      </c>
      <c r="F156" s="287">
        <v>8.1</v>
      </c>
      <c r="G156" s="287">
        <v>7.9</v>
      </c>
      <c r="H156" s="285">
        <v>-1.274</v>
      </c>
      <c r="I156" s="285">
        <v>-0.222</v>
      </c>
      <c r="J156" s="287">
        <v>35.9</v>
      </c>
      <c r="K156" s="287">
        <v>35</v>
      </c>
      <c r="L156" s="288">
        <v>5.35</v>
      </c>
      <c r="M156" s="287">
        <v>81.4</v>
      </c>
      <c r="N156" s="296">
        <v>4.6600000000000135</v>
      </c>
    </row>
    <row r="157" spans="1:14" ht="12">
      <c r="A157" s="275">
        <v>155</v>
      </c>
      <c r="B157" s="296">
        <v>4.680000000000014</v>
      </c>
      <c r="C157" s="275">
        <v>3400</v>
      </c>
      <c r="D157" s="275">
        <v>3317</v>
      </c>
      <c r="E157" s="275">
        <v>3296</v>
      </c>
      <c r="F157" s="287">
        <v>8.1</v>
      </c>
      <c r="G157" s="287">
        <v>7.9</v>
      </c>
      <c r="H157" s="285">
        <v>-1.287</v>
      </c>
      <c r="I157" s="285">
        <v>-0.227</v>
      </c>
      <c r="J157" s="287">
        <v>36</v>
      </c>
      <c r="K157" s="287">
        <v>35.1</v>
      </c>
      <c r="L157" s="288">
        <v>5.35</v>
      </c>
      <c r="M157" s="287">
        <v>81.3</v>
      </c>
      <c r="N157" s="296">
        <v>4.680000000000014</v>
      </c>
    </row>
    <row r="158" spans="1:14" ht="12">
      <c r="A158" s="275">
        <v>156</v>
      </c>
      <c r="B158" s="296">
        <v>4.700000000000014</v>
      </c>
      <c r="C158" s="275">
        <v>3416</v>
      </c>
      <c r="D158" s="275">
        <v>3332</v>
      </c>
      <c r="E158" s="275">
        <v>3311</v>
      </c>
      <c r="F158" s="287">
        <v>8.1</v>
      </c>
      <c r="G158" s="287">
        <v>7.9</v>
      </c>
      <c r="H158" s="285">
        <v>-1.3</v>
      </c>
      <c r="I158" s="285">
        <v>-0.232</v>
      </c>
      <c r="J158" s="287">
        <v>36.1</v>
      </c>
      <c r="K158" s="287">
        <v>35.2</v>
      </c>
      <c r="L158" s="288">
        <v>5.35</v>
      </c>
      <c r="M158" s="287">
        <v>81.1</v>
      </c>
      <c r="N158" s="296">
        <v>4.700000000000014</v>
      </c>
    </row>
    <row r="159" spans="1:14" ht="12">
      <c r="A159" s="275">
        <v>157</v>
      </c>
      <c r="B159" s="296">
        <v>4.720000000000015</v>
      </c>
      <c r="C159" s="275">
        <v>3432</v>
      </c>
      <c r="D159" s="275">
        <v>3348</v>
      </c>
      <c r="E159" s="275">
        <v>3327</v>
      </c>
      <c r="F159" s="287">
        <v>8.1</v>
      </c>
      <c r="G159" s="287">
        <v>7.9</v>
      </c>
      <c r="H159" s="285">
        <v>-1.313</v>
      </c>
      <c r="I159" s="285">
        <v>-0.237</v>
      </c>
      <c r="J159" s="287">
        <v>36.2</v>
      </c>
      <c r="K159" s="287">
        <v>35.3</v>
      </c>
      <c r="L159" s="288">
        <v>5.35</v>
      </c>
      <c r="M159" s="287">
        <v>81</v>
      </c>
      <c r="N159" s="296">
        <v>4.720000000000015</v>
      </c>
    </row>
    <row r="160" spans="1:14" ht="12">
      <c r="A160" s="275">
        <v>158</v>
      </c>
      <c r="B160" s="296">
        <v>4.740000000000015</v>
      </c>
      <c r="C160" s="275">
        <v>3448</v>
      </c>
      <c r="D160" s="275">
        <v>3364</v>
      </c>
      <c r="E160" s="275">
        <v>3343</v>
      </c>
      <c r="F160" s="287">
        <v>8.1</v>
      </c>
      <c r="G160" s="287">
        <v>7.9</v>
      </c>
      <c r="H160" s="285">
        <v>-1.326</v>
      </c>
      <c r="I160" s="285">
        <v>-0.242</v>
      </c>
      <c r="J160" s="287">
        <v>36.3</v>
      </c>
      <c r="K160" s="287">
        <v>35.4</v>
      </c>
      <c r="L160" s="288">
        <v>5.35</v>
      </c>
      <c r="M160" s="287">
        <v>80.8</v>
      </c>
      <c r="N160" s="296">
        <v>4.740000000000015</v>
      </c>
    </row>
    <row r="161" spans="1:14" ht="12">
      <c r="A161" s="275">
        <v>159</v>
      </c>
      <c r="B161" s="296">
        <v>4.760000000000016</v>
      </c>
      <c r="C161" s="275">
        <v>3464</v>
      </c>
      <c r="D161" s="275">
        <v>3380</v>
      </c>
      <c r="E161" s="275">
        <v>3359</v>
      </c>
      <c r="F161" s="287">
        <v>8.1</v>
      </c>
      <c r="G161" s="287">
        <v>7.9</v>
      </c>
      <c r="H161" s="285">
        <v>-1.339</v>
      </c>
      <c r="I161" s="285">
        <v>-0.247</v>
      </c>
      <c r="J161" s="287">
        <v>36.4</v>
      </c>
      <c r="K161" s="287">
        <v>35.5</v>
      </c>
      <c r="L161" s="288">
        <v>5.35</v>
      </c>
      <c r="M161" s="287">
        <v>80.7</v>
      </c>
      <c r="N161" s="296">
        <v>4.760000000000016</v>
      </c>
    </row>
    <row r="162" spans="1:14" ht="12">
      <c r="A162" s="275">
        <v>160</v>
      </c>
      <c r="B162" s="296">
        <v>4.780000000000017</v>
      </c>
      <c r="C162" s="275">
        <v>3481</v>
      </c>
      <c r="D162" s="275">
        <v>3396</v>
      </c>
      <c r="E162" s="275">
        <v>3375</v>
      </c>
      <c r="F162" s="287">
        <v>8.1</v>
      </c>
      <c r="G162" s="287">
        <v>8</v>
      </c>
      <c r="H162" s="285">
        <v>-1.351</v>
      </c>
      <c r="I162" s="285">
        <v>-0.252</v>
      </c>
      <c r="J162" s="287">
        <v>36.5</v>
      </c>
      <c r="K162" s="287">
        <v>35.6</v>
      </c>
      <c r="L162" s="288">
        <v>5.35</v>
      </c>
      <c r="M162" s="287">
        <v>80.5</v>
      </c>
      <c r="N162" s="296">
        <v>4.780000000000017</v>
      </c>
    </row>
    <row r="163" spans="1:14" ht="12">
      <c r="A163" s="275">
        <v>161</v>
      </c>
      <c r="B163" s="296">
        <v>4.800000000000017</v>
      </c>
      <c r="C163" s="275">
        <v>3497</v>
      </c>
      <c r="D163" s="275">
        <v>3412</v>
      </c>
      <c r="E163" s="275">
        <v>3391</v>
      </c>
      <c r="F163" s="287">
        <v>8.2</v>
      </c>
      <c r="G163" s="287">
        <v>8</v>
      </c>
      <c r="H163" s="285">
        <v>-1.364</v>
      </c>
      <c r="I163" s="285">
        <v>-0.258</v>
      </c>
      <c r="J163" s="287">
        <v>36.6</v>
      </c>
      <c r="K163" s="287">
        <v>35.7</v>
      </c>
      <c r="L163" s="288">
        <v>5.35</v>
      </c>
      <c r="M163" s="287">
        <v>80.4</v>
      </c>
      <c r="N163" s="296">
        <v>4.800000000000017</v>
      </c>
    </row>
    <row r="164" spans="1:14" ht="12">
      <c r="A164" s="275">
        <v>162</v>
      </c>
      <c r="B164" s="296">
        <v>4.820000000000018</v>
      </c>
      <c r="C164" s="275">
        <v>3513</v>
      </c>
      <c r="D164" s="275">
        <v>3428</v>
      </c>
      <c r="E164" s="275">
        <v>3407</v>
      </c>
      <c r="F164" s="287">
        <v>8.2</v>
      </c>
      <c r="G164" s="287">
        <v>8</v>
      </c>
      <c r="H164" s="285">
        <v>-1.376</v>
      </c>
      <c r="I164" s="285">
        <v>-0.263</v>
      </c>
      <c r="J164" s="287">
        <v>36.7</v>
      </c>
      <c r="K164" s="287">
        <v>35.8</v>
      </c>
      <c r="L164" s="288">
        <v>5.35</v>
      </c>
      <c r="M164" s="287">
        <v>80.3</v>
      </c>
      <c r="N164" s="296">
        <v>4.820000000000018</v>
      </c>
    </row>
    <row r="165" spans="1:14" ht="12">
      <c r="A165" s="275">
        <v>163</v>
      </c>
      <c r="B165" s="296">
        <v>4.8400000000000185</v>
      </c>
      <c r="C165" s="275">
        <v>3530</v>
      </c>
      <c r="D165" s="275">
        <v>3444</v>
      </c>
      <c r="E165" s="275">
        <v>3422</v>
      </c>
      <c r="F165" s="287">
        <v>8.2</v>
      </c>
      <c r="G165" s="287">
        <v>8</v>
      </c>
      <c r="H165" s="285">
        <v>-1.388</v>
      </c>
      <c r="I165" s="285">
        <v>-0.268</v>
      </c>
      <c r="J165" s="287">
        <v>36.8</v>
      </c>
      <c r="K165" s="287">
        <v>35.9</v>
      </c>
      <c r="L165" s="288">
        <v>5.35</v>
      </c>
      <c r="M165" s="287">
        <v>80.1</v>
      </c>
      <c r="N165" s="296">
        <v>4.8400000000000185</v>
      </c>
    </row>
    <row r="166" spans="1:14" ht="12">
      <c r="A166" s="275">
        <v>164</v>
      </c>
      <c r="B166" s="296">
        <v>4.860000000000019</v>
      </c>
      <c r="C166" s="275">
        <v>3546</v>
      </c>
      <c r="D166" s="275">
        <v>3460</v>
      </c>
      <c r="E166" s="275">
        <v>3438</v>
      </c>
      <c r="F166" s="287">
        <v>8.2</v>
      </c>
      <c r="G166" s="287">
        <v>8</v>
      </c>
      <c r="H166" s="285">
        <v>-1.4</v>
      </c>
      <c r="I166" s="285">
        <v>-0.274</v>
      </c>
      <c r="J166" s="287">
        <v>36.9</v>
      </c>
      <c r="K166" s="287">
        <v>36</v>
      </c>
      <c r="L166" s="288">
        <v>5.35</v>
      </c>
      <c r="M166" s="287">
        <v>80</v>
      </c>
      <c r="N166" s="296">
        <v>4.860000000000019</v>
      </c>
    </row>
    <row r="167" spans="1:14" ht="12">
      <c r="A167" s="275">
        <v>165</v>
      </c>
      <c r="B167" s="296">
        <v>4.880000000000019</v>
      </c>
      <c r="C167" s="275">
        <v>3563</v>
      </c>
      <c r="D167" s="275">
        <v>3476</v>
      </c>
      <c r="E167" s="275">
        <v>3454</v>
      </c>
      <c r="F167" s="287">
        <v>8.2</v>
      </c>
      <c r="G167" s="287">
        <v>8</v>
      </c>
      <c r="H167" s="285">
        <v>-1.412</v>
      </c>
      <c r="I167" s="285">
        <v>-0.279</v>
      </c>
      <c r="J167" s="287">
        <v>37</v>
      </c>
      <c r="K167" s="287">
        <v>36.1</v>
      </c>
      <c r="L167" s="288">
        <v>5.36</v>
      </c>
      <c r="M167" s="287">
        <v>79.8</v>
      </c>
      <c r="N167" s="296">
        <v>4.880000000000019</v>
      </c>
    </row>
    <row r="168" spans="1:14" ht="12">
      <c r="A168" s="275">
        <v>166</v>
      </c>
      <c r="B168" s="296">
        <v>4.90000000000002</v>
      </c>
      <c r="C168" s="275">
        <v>3579</v>
      </c>
      <c r="D168" s="275">
        <v>3492</v>
      </c>
      <c r="E168" s="275">
        <v>3470</v>
      </c>
      <c r="F168" s="287">
        <v>8.2</v>
      </c>
      <c r="G168" s="287">
        <v>8</v>
      </c>
      <c r="H168" s="285">
        <v>-1.424</v>
      </c>
      <c r="I168" s="285">
        <v>-0.284</v>
      </c>
      <c r="J168" s="287">
        <v>37.1</v>
      </c>
      <c r="K168" s="287">
        <v>36.2</v>
      </c>
      <c r="L168" s="288">
        <v>5.36</v>
      </c>
      <c r="M168" s="287">
        <v>79.7</v>
      </c>
      <c r="N168" s="296">
        <v>4.90000000000002</v>
      </c>
    </row>
    <row r="169" spans="1:14" ht="12">
      <c r="A169" s="275">
        <v>167</v>
      </c>
      <c r="B169" s="296">
        <v>4.92000000000002</v>
      </c>
      <c r="C169" s="275">
        <v>3595</v>
      </c>
      <c r="D169" s="275">
        <v>3508</v>
      </c>
      <c r="E169" s="275">
        <v>3486</v>
      </c>
      <c r="F169" s="287">
        <v>8.2</v>
      </c>
      <c r="G169" s="287">
        <v>8</v>
      </c>
      <c r="H169" s="285">
        <v>-1.436</v>
      </c>
      <c r="I169" s="285">
        <v>-0.289</v>
      </c>
      <c r="J169" s="287">
        <v>37.2</v>
      </c>
      <c r="K169" s="287">
        <v>36.3</v>
      </c>
      <c r="L169" s="288">
        <v>5.36</v>
      </c>
      <c r="M169" s="287">
        <v>79.6</v>
      </c>
      <c r="N169" s="296">
        <v>4.92000000000002</v>
      </c>
    </row>
    <row r="170" spans="1:14" ht="12">
      <c r="A170" s="275">
        <v>168</v>
      </c>
      <c r="B170" s="296">
        <v>4.940000000000021</v>
      </c>
      <c r="C170" s="275">
        <v>3612</v>
      </c>
      <c r="D170" s="275">
        <v>3524</v>
      </c>
      <c r="E170" s="275">
        <v>3502</v>
      </c>
      <c r="F170" s="287">
        <v>8.2</v>
      </c>
      <c r="G170" s="287">
        <v>8</v>
      </c>
      <c r="H170" s="285">
        <v>-1.448</v>
      </c>
      <c r="I170" s="285">
        <v>-0.294</v>
      </c>
      <c r="J170" s="287">
        <v>37.3</v>
      </c>
      <c r="K170" s="287">
        <v>36.4</v>
      </c>
      <c r="L170" s="288">
        <v>5.36</v>
      </c>
      <c r="M170" s="287">
        <v>79.4</v>
      </c>
      <c r="N170" s="296">
        <v>4.940000000000021</v>
      </c>
    </row>
    <row r="171" spans="1:14" ht="12">
      <c r="A171" s="275">
        <v>169</v>
      </c>
      <c r="B171" s="296">
        <v>4.960000000000021</v>
      </c>
      <c r="C171" s="275">
        <v>3628</v>
      </c>
      <c r="D171" s="275">
        <v>3540</v>
      </c>
      <c r="E171" s="275">
        <v>3518</v>
      </c>
      <c r="F171" s="287">
        <v>8.2</v>
      </c>
      <c r="G171" s="287">
        <v>8</v>
      </c>
      <c r="H171" s="285">
        <v>-1.46</v>
      </c>
      <c r="I171" s="285">
        <v>-0.3</v>
      </c>
      <c r="J171" s="287">
        <v>37.4</v>
      </c>
      <c r="K171" s="287">
        <v>36.5</v>
      </c>
      <c r="L171" s="288">
        <v>5.36</v>
      </c>
      <c r="M171" s="287">
        <v>79.3</v>
      </c>
      <c r="N171" s="296">
        <v>4.960000000000021</v>
      </c>
    </row>
    <row r="172" spans="1:14" ht="12">
      <c r="A172" s="275">
        <v>170</v>
      </c>
      <c r="B172" s="296">
        <v>4.980000000000022</v>
      </c>
      <c r="C172" s="275">
        <v>3645</v>
      </c>
      <c r="D172" s="275">
        <v>3556</v>
      </c>
      <c r="E172" s="275">
        <v>3534</v>
      </c>
      <c r="F172" s="287">
        <v>8.2</v>
      </c>
      <c r="G172" s="287">
        <v>8</v>
      </c>
      <c r="H172" s="285">
        <v>-1.472</v>
      </c>
      <c r="I172" s="285">
        <v>-0.305</v>
      </c>
      <c r="J172" s="287">
        <v>37.5</v>
      </c>
      <c r="K172" s="287">
        <v>36.6</v>
      </c>
      <c r="L172" s="288">
        <v>5.36</v>
      </c>
      <c r="M172" s="287">
        <v>79.2</v>
      </c>
      <c r="N172" s="296">
        <v>4.980000000000022</v>
      </c>
    </row>
    <row r="173" spans="1:14" ht="12">
      <c r="A173" s="275">
        <v>171</v>
      </c>
      <c r="B173" s="296">
        <v>5.000000000000022</v>
      </c>
      <c r="C173" s="275">
        <v>3661</v>
      </c>
      <c r="D173" s="275">
        <v>3572</v>
      </c>
      <c r="E173" s="275">
        <v>3550</v>
      </c>
      <c r="F173" s="287">
        <v>8.2</v>
      </c>
      <c r="G173" s="287">
        <v>8</v>
      </c>
      <c r="H173" s="285">
        <v>-1.484</v>
      </c>
      <c r="I173" s="285">
        <v>-0.31</v>
      </c>
      <c r="J173" s="287">
        <v>37.6</v>
      </c>
      <c r="K173" s="287">
        <v>36.7</v>
      </c>
      <c r="L173" s="288">
        <v>5.36</v>
      </c>
      <c r="M173" s="287">
        <v>79.1</v>
      </c>
      <c r="N173" s="296">
        <v>5.000000000000022</v>
      </c>
    </row>
    <row r="174" spans="1:14" ht="12">
      <c r="A174" s="275">
        <v>172</v>
      </c>
      <c r="B174" s="296">
        <v>5.020000000000023</v>
      </c>
      <c r="C174" s="275">
        <v>3677</v>
      </c>
      <c r="D174" s="275">
        <v>3588</v>
      </c>
      <c r="E174" s="275">
        <v>3566</v>
      </c>
      <c r="F174" s="287">
        <v>8.2</v>
      </c>
      <c r="G174" s="287">
        <v>8</v>
      </c>
      <c r="H174" s="285">
        <v>-1.496</v>
      </c>
      <c r="I174" s="285">
        <v>-0.315</v>
      </c>
      <c r="J174" s="287">
        <v>37.7</v>
      </c>
      <c r="K174" s="287">
        <v>36.8</v>
      </c>
      <c r="L174" s="288">
        <v>5.37</v>
      </c>
      <c r="M174" s="287">
        <v>78.9</v>
      </c>
      <c r="N174" s="296">
        <v>5.020000000000023</v>
      </c>
    </row>
    <row r="175" spans="1:14" ht="12">
      <c r="A175" s="275">
        <v>173</v>
      </c>
      <c r="B175" s="296">
        <v>5.040000000000023</v>
      </c>
      <c r="C175" s="275">
        <v>3694</v>
      </c>
      <c r="D175" s="275">
        <v>3604</v>
      </c>
      <c r="E175" s="275">
        <v>3582</v>
      </c>
      <c r="F175" s="287">
        <v>8.3</v>
      </c>
      <c r="G175" s="287">
        <v>8.1</v>
      </c>
      <c r="H175" s="285">
        <v>-1.51</v>
      </c>
      <c r="I175" s="285">
        <v>-0.321</v>
      </c>
      <c r="J175" s="287">
        <v>37.8</v>
      </c>
      <c r="K175" s="287">
        <v>36.9</v>
      </c>
      <c r="L175" s="288">
        <v>5.37</v>
      </c>
      <c r="M175" s="287">
        <v>78.8</v>
      </c>
      <c r="N175" s="296">
        <v>5.040000000000023</v>
      </c>
    </row>
    <row r="176" spans="1:14" ht="12">
      <c r="A176" s="275">
        <v>174</v>
      </c>
      <c r="B176" s="296">
        <v>5.060000000000024</v>
      </c>
      <c r="C176" s="275">
        <v>3711</v>
      </c>
      <c r="D176" s="275">
        <v>3620</v>
      </c>
      <c r="E176" s="275">
        <v>3598</v>
      </c>
      <c r="F176" s="287">
        <v>8.3</v>
      </c>
      <c r="G176" s="287">
        <v>8.1</v>
      </c>
      <c r="H176" s="285">
        <v>-1.523</v>
      </c>
      <c r="I176" s="285">
        <v>-0.326</v>
      </c>
      <c r="J176" s="287">
        <v>37.9</v>
      </c>
      <c r="K176" s="287">
        <v>37</v>
      </c>
      <c r="L176" s="288">
        <v>5.37</v>
      </c>
      <c r="M176" s="287">
        <v>78.7</v>
      </c>
      <c r="N176" s="296">
        <v>5.060000000000024</v>
      </c>
    </row>
    <row r="177" spans="1:14" ht="12">
      <c r="A177" s="275">
        <v>175</v>
      </c>
      <c r="B177" s="296">
        <v>5.080000000000024</v>
      </c>
      <c r="C177" s="275">
        <v>3727</v>
      </c>
      <c r="D177" s="275">
        <v>3636</v>
      </c>
      <c r="E177" s="275">
        <v>3615</v>
      </c>
      <c r="F177" s="287">
        <v>8.3</v>
      </c>
      <c r="G177" s="287">
        <v>8.1</v>
      </c>
      <c r="H177" s="285">
        <v>-1.537</v>
      </c>
      <c r="I177" s="285">
        <v>-0.331</v>
      </c>
      <c r="J177" s="287">
        <v>38</v>
      </c>
      <c r="K177" s="287">
        <v>37.1</v>
      </c>
      <c r="L177" s="288">
        <v>5.37</v>
      </c>
      <c r="M177" s="287">
        <v>78.6</v>
      </c>
      <c r="N177" s="296">
        <v>5.080000000000024</v>
      </c>
    </row>
    <row r="178" spans="1:14" ht="12">
      <c r="A178" s="275">
        <v>176</v>
      </c>
      <c r="B178" s="296">
        <v>5.1000000000000245</v>
      </c>
      <c r="C178" s="275">
        <v>3744</v>
      </c>
      <c r="D178" s="275">
        <v>3652</v>
      </c>
      <c r="E178" s="275">
        <v>3631</v>
      </c>
      <c r="F178" s="287">
        <v>8.3</v>
      </c>
      <c r="G178" s="287">
        <v>8.1</v>
      </c>
      <c r="H178" s="285">
        <v>-1.551</v>
      </c>
      <c r="I178" s="285">
        <v>-0.337</v>
      </c>
      <c r="J178" s="287">
        <v>38.2</v>
      </c>
      <c r="K178" s="287">
        <v>37.2</v>
      </c>
      <c r="L178" s="288">
        <v>5.37</v>
      </c>
      <c r="M178" s="287">
        <v>78.5</v>
      </c>
      <c r="N178" s="296">
        <v>5.1000000000000245</v>
      </c>
    </row>
    <row r="179" spans="1:14" ht="12">
      <c r="A179" s="275">
        <v>177</v>
      </c>
      <c r="B179" s="296">
        <v>5.120000000000025</v>
      </c>
      <c r="C179" s="275">
        <v>3760</v>
      </c>
      <c r="D179" s="275">
        <v>3669</v>
      </c>
      <c r="E179" s="275">
        <v>3647</v>
      </c>
      <c r="F179" s="287">
        <v>8.3</v>
      </c>
      <c r="G179" s="287">
        <v>8.1</v>
      </c>
      <c r="H179" s="285">
        <v>-1.565</v>
      </c>
      <c r="I179" s="285">
        <v>-0.342</v>
      </c>
      <c r="J179" s="287">
        <v>38.3</v>
      </c>
      <c r="K179" s="287">
        <v>37.3</v>
      </c>
      <c r="L179" s="288">
        <v>5.38</v>
      </c>
      <c r="M179" s="287">
        <v>78.4</v>
      </c>
      <c r="N179" s="296">
        <v>5.120000000000025</v>
      </c>
    </row>
    <row r="180" spans="1:14" ht="12">
      <c r="A180" s="275">
        <v>178</v>
      </c>
      <c r="B180" s="296">
        <v>5.140000000000025</v>
      </c>
      <c r="C180" s="275">
        <v>3777</v>
      </c>
      <c r="D180" s="275">
        <v>3685</v>
      </c>
      <c r="E180" s="275">
        <v>3663</v>
      </c>
      <c r="F180" s="287">
        <v>8.3</v>
      </c>
      <c r="G180" s="287">
        <v>8.1</v>
      </c>
      <c r="H180" s="285">
        <v>-1.579</v>
      </c>
      <c r="I180" s="285">
        <v>-0.348</v>
      </c>
      <c r="J180" s="287">
        <v>38.4</v>
      </c>
      <c r="K180" s="287">
        <v>37.5</v>
      </c>
      <c r="L180" s="288">
        <v>5.38</v>
      </c>
      <c r="M180" s="287">
        <v>78.3</v>
      </c>
      <c r="N180" s="296">
        <v>5.140000000000025</v>
      </c>
    </row>
    <row r="181" spans="1:14" ht="12">
      <c r="A181" s="275">
        <v>179</v>
      </c>
      <c r="B181" s="296">
        <v>5.160000000000026</v>
      </c>
      <c r="C181" s="275">
        <v>3794</v>
      </c>
      <c r="D181" s="275">
        <v>3701</v>
      </c>
      <c r="E181" s="275">
        <v>3679</v>
      </c>
      <c r="F181" s="287">
        <v>8.3</v>
      </c>
      <c r="G181" s="287">
        <v>8.1</v>
      </c>
      <c r="H181" s="285">
        <v>-1.592</v>
      </c>
      <c r="I181" s="285">
        <v>-0.353</v>
      </c>
      <c r="J181" s="287">
        <v>38.5</v>
      </c>
      <c r="K181" s="287">
        <v>37.6</v>
      </c>
      <c r="L181" s="288">
        <v>5.38</v>
      </c>
      <c r="M181" s="287">
        <v>78.2</v>
      </c>
      <c r="N181" s="296">
        <v>5.160000000000026</v>
      </c>
    </row>
    <row r="182" spans="1:14" ht="12">
      <c r="A182" s="275">
        <v>180</v>
      </c>
      <c r="B182" s="296">
        <v>5.180000000000026</v>
      </c>
      <c r="C182" s="275">
        <v>3810</v>
      </c>
      <c r="D182" s="275">
        <v>3717</v>
      </c>
      <c r="E182" s="275">
        <v>3695</v>
      </c>
      <c r="F182" s="287">
        <v>8.3</v>
      </c>
      <c r="G182" s="287">
        <v>8.1</v>
      </c>
      <c r="H182" s="285">
        <v>-1.606</v>
      </c>
      <c r="I182" s="285">
        <v>-0.358</v>
      </c>
      <c r="J182" s="287">
        <v>38.6</v>
      </c>
      <c r="K182" s="287">
        <v>37.7</v>
      </c>
      <c r="L182" s="288">
        <v>5.38</v>
      </c>
      <c r="M182" s="287">
        <v>78.1</v>
      </c>
      <c r="N182" s="296">
        <v>5.180000000000026</v>
      </c>
    </row>
    <row r="183" spans="1:14" ht="12">
      <c r="A183" s="275">
        <v>181</v>
      </c>
      <c r="B183" s="296">
        <v>5.200000000000027</v>
      </c>
      <c r="C183" s="275">
        <v>3827</v>
      </c>
      <c r="D183" s="275">
        <v>3733</v>
      </c>
      <c r="E183" s="275">
        <v>3712</v>
      </c>
      <c r="F183" s="287">
        <v>8.3</v>
      </c>
      <c r="G183" s="287">
        <v>8.1</v>
      </c>
      <c r="H183" s="285">
        <v>-1.62</v>
      </c>
      <c r="I183" s="285">
        <v>-0.364</v>
      </c>
      <c r="J183" s="287">
        <v>38.7</v>
      </c>
      <c r="K183" s="287">
        <v>37.8</v>
      </c>
      <c r="L183" s="288">
        <v>5.39</v>
      </c>
      <c r="M183" s="287">
        <v>78.1</v>
      </c>
      <c r="N183" s="296">
        <v>5.200000000000027</v>
      </c>
    </row>
    <row r="184" spans="1:14" ht="12">
      <c r="A184" s="275">
        <v>182</v>
      </c>
      <c r="B184" s="296">
        <v>5.220000000000027</v>
      </c>
      <c r="C184" s="275">
        <v>3843</v>
      </c>
      <c r="D184" s="275">
        <v>3750</v>
      </c>
      <c r="E184" s="275">
        <v>3728</v>
      </c>
      <c r="F184" s="287">
        <v>8.3</v>
      </c>
      <c r="G184" s="287">
        <v>8.1</v>
      </c>
      <c r="H184" s="285">
        <v>-1.633</v>
      </c>
      <c r="I184" s="285">
        <v>-0.369</v>
      </c>
      <c r="J184" s="287">
        <v>38.8</v>
      </c>
      <c r="K184" s="287">
        <v>37.9</v>
      </c>
      <c r="L184" s="288">
        <v>5.39</v>
      </c>
      <c r="M184" s="287">
        <v>78</v>
      </c>
      <c r="N184" s="296">
        <v>5.220000000000027</v>
      </c>
    </row>
    <row r="185" spans="1:14" ht="12">
      <c r="A185" s="275">
        <v>183</v>
      </c>
      <c r="B185" s="296">
        <v>5.240000000000029</v>
      </c>
      <c r="C185" s="275">
        <v>3860</v>
      </c>
      <c r="D185" s="275">
        <v>3766</v>
      </c>
      <c r="E185" s="275">
        <v>3744</v>
      </c>
      <c r="F185" s="287">
        <v>8.3</v>
      </c>
      <c r="G185" s="287">
        <v>8.1</v>
      </c>
      <c r="H185" s="285">
        <v>-1.647</v>
      </c>
      <c r="I185" s="285">
        <v>-0.375</v>
      </c>
      <c r="J185" s="287">
        <v>39</v>
      </c>
      <c r="K185" s="287">
        <v>38</v>
      </c>
      <c r="L185" s="288">
        <v>5.39</v>
      </c>
      <c r="M185" s="287">
        <v>77.9</v>
      </c>
      <c r="N185" s="296">
        <v>5.240000000000029</v>
      </c>
    </row>
    <row r="186" spans="1:14" ht="12">
      <c r="A186" s="275">
        <v>184</v>
      </c>
      <c r="B186" s="296">
        <v>5.26</v>
      </c>
      <c r="C186" s="275">
        <v>3877</v>
      </c>
      <c r="D186" s="275">
        <v>3782</v>
      </c>
      <c r="E186" s="275">
        <v>3760</v>
      </c>
      <c r="F186" s="287">
        <v>8.4</v>
      </c>
      <c r="G186" s="287">
        <v>8.2</v>
      </c>
      <c r="H186" s="285">
        <v>-1.66</v>
      </c>
      <c r="I186" s="285">
        <v>-0.38</v>
      </c>
      <c r="J186" s="287">
        <v>39.1</v>
      </c>
      <c r="K186" s="287">
        <v>38.1</v>
      </c>
      <c r="L186" s="288">
        <v>5.39</v>
      </c>
      <c r="M186" s="287">
        <v>77.8</v>
      </c>
      <c r="N186" s="296">
        <v>5.26</v>
      </c>
    </row>
    <row r="187" spans="1:14" ht="12">
      <c r="A187" s="275">
        <v>185</v>
      </c>
      <c r="B187" s="296">
        <v>5.28000000000003</v>
      </c>
      <c r="C187" s="275">
        <v>3893</v>
      </c>
      <c r="D187" s="275">
        <v>3798</v>
      </c>
      <c r="E187" s="275">
        <v>3776</v>
      </c>
      <c r="F187" s="287">
        <v>8.4</v>
      </c>
      <c r="G187" s="287">
        <v>8.2</v>
      </c>
      <c r="H187" s="285">
        <v>-1.673</v>
      </c>
      <c r="I187" s="285">
        <v>-0.386</v>
      </c>
      <c r="J187" s="287">
        <v>39.2</v>
      </c>
      <c r="K187" s="287">
        <v>38.2</v>
      </c>
      <c r="L187" s="288">
        <v>5.4</v>
      </c>
      <c r="M187" s="287">
        <v>77.7</v>
      </c>
      <c r="N187" s="296">
        <v>5.28000000000003</v>
      </c>
    </row>
    <row r="188" spans="1:14" ht="12">
      <c r="A188" s="275">
        <v>186</v>
      </c>
      <c r="B188" s="296">
        <v>5.3</v>
      </c>
      <c r="C188" s="275">
        <v>3910</v>
      </c>
      <c r="D188" s="275">
        <v>3815</v>
      </c>
      <c r="E188" s="275">
        <v>3793</v>
      </c>
      <c r="F188" s="287">
        <v>8.4</v>
      </c>
      <c r="G188" s="287">
        <v>8.2</v>
      </c>
      <c r="H188" s="285">
        <v>-1.685</v>
      </c>
      <c r="I188" s="285">
        <v>-0.391</v>
      </c>
      <c r="J188" s="287">
        <v>39.3</v>
      </c>
      <c r="K188" s="287">
        <v>38.4</v>
      </c>
      <c r="L188" s="288">
        <v>5.4</v>
      </c>
      <c r="M188" s="287">
        <v>77.6</v>
      </c>
      <c r="N188" s="296">
        <v>5.3</v>
      </c>
    </row>
    <row r="189" spans="1:14" ht="12">
      <c r="A189" s="275">
        <v>187</v>
      </c>
      <c r="B189" s="296">
        <v>5.32</v>
      </c>
      <c r="C189" s="275">
        <v>3927</v>
      </c>
      <c r="D189" s="275">
        <v>3831</v>
      </c>
      <c r="E189" s="275">
        <v>3809</v>
      </c>
      <c r="F189" s="287">
        <v>8.4</v>
      </c>
      <c r="G189" s="287">
        <v>8.2</v>
      </c>
      <c r="H189" s="285">
        <v>-1.697</v>
      </c>
      <c r="I189" s="285">
        <v>-0.397</v>
      </c>
      <c r="J189" s="287">
        <v>39.4</v>
      </c>
      <c r="K189" s="287">
        <v>38.5</v>
      </c>
      <c r="L189" s="288">
        <v>5.4</v>
      </c>
      <c r="M189" s="287">
        <v>77.5</v>
      </c>
      <c r="N189" s="296">
        <v>5.32</v>
      </c>
    </row>
    <row r="190" spans="1:14" ht="12">
      <c r="A190" s="275">
        <v>188</v>
      </c>
      <c r="B190" s="296">
        <v>5.34</v>
      </c>
      <c r="C190" s="275">
        <v>3944</v>
      </c>
      <c r="D190" s="275">
        <v>3848</v>
      </c>
      <c r="E190" s="275">
        <v>3826</v>
      </c>
      <c r="F190" s="287">
        <v>8.4</v>
      </c>
      <c r="G190" s="287">
        <v>8.2</v>
      </c>
      <c r="H190" s="285">
        <v>-1.709</v>
      </c>
      <c r="I190" s="285">
        <v>-0.403</v>
      </c>
      <c r="J190" s="287">
        <v>39.5</v>
      </c>
      <c r="K190" s="287">
        <v>38.6</v>
      </c>
      <c r="L190" s="288">
        <v>5.41</v>
      </c>
      <c r="M190" s="287">
        <v>77.4</v>
      </c>
      <c r="N190" s="296">
        <v>5.34</v>
      </c>
    </row>
    <row r="191" spans="1:14" ht="12">
      <c r="A191" s="275">
        <v>189</v>
      </c>
      <c r="B191" s="296">
        <v>5.36</v>
      </c>
      <c r="C191" s="275">
        <v>3961</v>
      </c>
      <c r="D191" s="275">
        <v>3864</v>
      </c>
      <c r="E191" s="275">
        <v>3842</v>
      </c>
      <c r="F191" s="287">
        <v>8.4</v>
      </c>
      <c r="G191" s="287">
        <v>8.2</v>
      </c>
      <c r="H191" s="285">
        <v>-1.721</v>
      </c>
      <c r="I191" s="285">
        <v>-0.408</v>
      </c>
      <c r="J191" s="287">
        <v>39.7</v>
      </c>
      <c r="K191" s="287">
        <v>38.7</v>
      </c>
      <c r="L191" s="288">
        <v>5.41</v>
      </c>
      <c r="M191" s="287">
        <v>77.3</v>
      </c>
      <c r="N191" s="296">
        <v>5.36</v>
      </c>
    </row>
    <row r="192" spans="1:14" ht="12">
      <c r="A192" s="275">
        <v>190</v>
      </c>
      <c r="B192" s="296">
        <v>5.38</v>
      </c>
      <c r="C192" s="275">
        <v>3978</v>
      </c>
      <c r="D192" s="275">
        <v>3880</v>
      </c>
      <c r="E192" s="275">
        <v>3858</v>
      </c>
      <c r="F192" s="287">
        <v>8.4</v>
      </c>
      <c r="G192" s="287">
        <v>8.2</v>
      </c>
      <c r="H192" s="285">
        <v>-1.733</v>
      </c>
      <c r="I192" s="285">
        <v>-0.414</v>
      </c>
      <c r="J192" s="287">
        <v>39.8</v>
      </c>
      <c r="K192" s="287">
        <v>38.8</v>
      </c>
      <c r="L192" s="288">
        <v>5.41</v>
      </c>
      <c r="M192" s="287">
        <v>77.3</v>
      </c>
      <c r="N192" s="296">
        <v>5.38</v>
      </c>
    </row>
    <row r="193" spans="1:14" ht="12">
      <c r="A193" s="275">
        <v>191</v>
      </c>
      <c r="B193" s="296">
        <v>5.4</v>
      </c>
      <c r="C193" s="275">
        <v>3994</v>
      </c>
      <c r="D193" s="275">
        <v>3897</v>
      </c>
      <c r="E193" s="275">
        <v>3875</v>
      </c>
      <c r="F193" s="287">
        <v>8.4</v>
      </c>
      <c r="G193" s="287">
        <v>8.2</v>
      </c>
      <c r="H193" s="285">
        <v>-1.745</v>
      </c>
      <c r="I193" s="285">
        <v>-0.419</v>
      </c>
      <c r="J193" s="287">
        <v>39.9</v>
      </c>
      <c r="K193" s="287">
        <v>38.9</v>
      </c>
      <c r="L193" s="288">
        <v>5.42</v>
      </c>
      <c r="M193" s="287">
        <v>77.2</v>
      </c>
      <c r="N193" s="296">
        <v>5.4</v>
      </c>
    </row>
    <row r="194" spans="1:14" ht="12">
      <c r="A194" s="275">
        <v>192</v>
      </c>
      <c r="B194" s="296">
        <v>5.42</v>
      </c>
      <c r="C194" s="275">
        <v>4011</v>
      </c>
      <c r="D194" s="275">
        <v>3913</v>
      </c>
      <c r="E194" s="275">
        <v>3891</v>
      </c>
      <c r="F194" s="287">
        <v>8.4</v>
      </c>
      <c r="G194" s="287">
        <v>8.2</v>
      </c>
      <c r="H194" s="285">
        <v>-1.757</v>
      </c>
      <c r="I194" s="285">
        <v>-0.425</v>
      </c>
      <c r="J194" s="287">
        <v>40</v>
      </c>
      <c r="K194" s="287">
        <v>39</v>
      </c>
      <c r="L194" s="288">
        <v>5.42</v>
      </c>
      <c r="M194" s="287">
        <v>77.1</v>
      </c>
      <c r="N194" s="296">
        <v>5.42</v>
      </c>
    </row>
    <row r="195" spans="1:14" ht="12">
      <c r="A195" s="275">
        <v>193</v>
      </c>
      <c r="B195" s="296">
        <v>5.44</v>
      </c>
      <c r="C195" s="275">
        <v>4028</v>
      </c>
      <c r="D195" s="275">
        <v>3930</v>
      </c>
      <c r="E195" s="275">
        <v>3907</v>
      </c>
      <c r="F195" s="287">
        <v>8.4</v>
      </c>
      <c r="G195" s="287">
        <v>8.2</v>
      </c>
      <c r="H195" s="285">
        <v>-1.769</v>
      </c>
      <c r="I195" s="285">
        <v>-0.431</v>
      </c>
      <c r="J195" s="287">
        <v>40.1</v>
      </c>
      <c r="K195" s="287">
        <v>39.2</v>
      </c>
      <c r="L195" s="288">
        <v>5.42</v>
      </c>
      <c r="M195" s="287">
        <v>77</v>
      </c>
      <c r="N195" s="296">
        <v>5.44</v>
      </c>
    </row>
    <row r="196" spans="1:14" ht="12">
      <c r="A196" s="275">
        <v>194</v>
      </c>
      <c r="B196" s="296">
        <v>5.46</v>
      </c>
      <c r="C196" s="275">
        <v>4045</v>
      </c>
      <c r="D196" s="275">
        <v>3946</v>
      </c>
      <c r="E196" s="275">
        <v>3924</v>
      </c>
      <c r="F196" s="287">
        <v>8.4</v>
      </c>
      <c r="G196" s="287">
        <v>8.2</v>
      </c>
      <c r="H196" s="285">
        <v>-1.781</v>
      </c>
      <c r="I196" s="285">
        <v>-0.436</v>
      </c>
      <c r="J196" s="287">
        <v>40.3</v>
      </c>
      <c r="K196" s="287">
        <v>39.3</v>
      </c>
      <c r="L196" s="288">
        <v>5.43</v>
      </c>
      <c r="M196" s="287">
        <v>76.9</v>
      </c>
      <c r="N196" s="296">
        <v>5.46</v>
      </c>
    </row>
    <row r="197" spans="1:14" ht="12">
      <c r="A197" s="275">
        <v>195</v>
      </c>
      <c r="B197" s="296">
        <v>5.48</v>
      </c>
      <c r="C197" s="275">
        <v>4062</v>
      </c>
      <c r="D197" s="275">
        <v>3963</v>
      </c>
      <c r="E197" s="275">
        <v>3940</v>
      </c>
      <c r="F197" s="287">
        <v>8.5</v>
      </c>
      <c r="G197" s="287">
        <v>8.2</v>
      </c>
      <c r="H197" s="285">
        <v>-1.793</v>
      </c>
      <c r="I197" s="285">
        <v>-0.442</v>
      </c>
      <c r="J197" s="287">
        <v>40.4</v>
      </c>
      <c r="K197" s="287">
        <v>39.4</v>
      </c>
      <c r="L197" s="288">
        <v>5.43</v>
      </c>
      <c r="M197" s="287">
        <v>76.9</v>
      </c>
      <c r="N197" s="296">
        <v>5.48</v>
      </c>
    </row>
    <row r="198" spans="1:14" ht="12">
      <c r="A198" s="275">
        <v>196</v>
      </c>
      <c r="B198" s="296">
        <v>5.5</v>
      </c>
      <c r="C198" s="275">
        <v>4079</v>
      </c>
      <c r="D198" s="275">
        <v>3979</v>
      </c>
      <c r="E198" s="275">
        <v>3957</v>
      </c>
      <c r="F198" s="287">
        <v>8.5</v>
      </c>
      <c r="G198" s="287">
        <v>8.3</v>
      </c>
      <c r="H198" s="285">
        <v>-1.805</v>
      </c>
      <c r="I198" s="285">
        <v>-0.448</v>
      </c>
      <c r="J198" s="287">
        <v>40.5</v>
      </c>
      <c r="K198" s="287">
        <v>39.5</v>
      </c>
      <c r="L198" s="288">
        <v>5.43</v>
      </c>
      <c r="M198" s="287">
        <v>76.8</v>
      </c>
      <c r="N198" s="296">
        <v>5.5</v>
      </c>
    </row>
    <row r="199" spans="1:14" ht="12">
      <c r="A199" s="275">
        <v>197</v>
      </c>
      <c r="B199" s="296">
        <v>5.52</v>
      </c>
      <c r="C199" s="275">
        <v>4096</v>
      </c>
      <c r="D199" s="275">
        <v>3996</v>
      </c>
      <c r="E199" s="275">
        <v>3973</v>
      </c>
      <c r="F199" s="287">
        <v>8.5</v>
      </c>
      <c r="G199" s="287">
        <v>8.3</v>
      </c>
      <c r="H199" s="285">
        <v>-1.817</v>
      </c>
      <c r="I199" s="285">
        <v>-0.453</v>
      </c>
      <c r="J199" s="287">
        <v>40.6</v>
      </c>
      <c r="K199" s="287">
        <v>39.6</v>
      </c>
      <c r="L199" s="288">
        <v>5.44</v>
      </c>
      <c r="M199" s="287">
        <v>76.7</v>
      </c>
      <c r="N199" s="296">
        <v>5.52</v>
      </c>
    </row>
    <row r="200" spans="1:14" ht="12">
      <c r="A200" s="275">
        <v>198</v>
      </c>
      <c r="B200" s="296">
        <v>5.540000000000006</v>
      </c>
      <c r="C200" s="275">
        <v>4112</v>
      </c>
      <c r="D200" s="275">
        <v>4012</v>
      </c>
      <c r="E200" s="275">
        <v>3990</v>
      </c>
      <c r="F200" s="287">
        <v>8.5</v>
      </c>
      <c r="G200" s="287">
        <v>8.3</v>
      </c>
      <c r="H200" s="285">
        <v>-1.828</v>
      </c>
      <c r="I200" s="285">
        <v>-0.459</v>
      </c>
      <c r="J200" s="287">
        <v>40.7</v>
      </c>
      <c r="K200" s="287">
        <v>39.7</v>
      </c>
      <c r="L200" s="288">
        <v>5.44</v>
      </c>
      <c r="M200" s="287">
        <v>76.6</v>
      </c>
      <c r="N200" s="296">
        <v>5.540000000000006</v>
      </c>
    </row>
    <row r="201" spans="1:14" ht="12">
      <c r="A201" s="275">
        <v>199</v>
      </c>
      <c r="B201" s="296">
        <v>5.560000000000007</v>
      </c>
      <c r="C201" s="275">
        <v>4130</v>
      </c>
      <c r="D201" s="275">
        <v>4029</v>
      </c>
      <c r="E201" s="275">
        <v>4006</v>
      </c>
      <c r="F201" s="287">
        <v>8.5</v>
      </c>
      <c r="G201" s="287">
        <v>8.3</v>
      </c>
      <c r="H201" s="285">
        <v>-1.839</v>
      </c>
      <c r="I201" s="285">
        <v>-0.464</v>
      </c>
      <c r="J201" s="287">
        <v>40.9</v>
      </c>
      <c r="K201" s="287">
        <v>39.9</v>
      </c>
      <c r="L201" s="288">
        <v>5.44</v>
      </c>
      <c r="M201" s="287">
        <v>76.5</v>
      </c>
      <c r="N201" s="296">
        <v>5.560000000000007</v>
      </c>
    </row>
    <row r="202" spans="1:14" ht="12">
      <c r="A202" s="275">
        <v>200</v>
      </c>
      <c r="B202" s="296">
        <v>5.580000000000007</v>
      </c>
      <c r="C202" s="275">
        <v>4147</v>
      </c>
      <c r="D202" s="275">
        <v>4045</v>
      </c>
      <c r="E202" s="275">
        <v>4023</v>
      </c>
      <c r="F202" s="287">
        <v>8.5</v>
      </c>
      <c r="G202" s="287">
        <v>8.3</v>
      </c>
      <c r="H202" s="285">
        <v>-1.85</v>
      </c>
      <c r="I202" s="285">
        <v>-0.47</v>
      </c>
      <c r="J202" s="287">
        <v>41</v>
      </c>
      <c r="K202" s="287">
        <v>40</v>
      </c>
      <c r="L202" s="288">
        <v>5.45</v>
      </c>
      <c r="M202" s="287">
        <v>76.5</v>
      </c>
      <c r="N202" s="296">
        <v>5.580000000000007</v>
      </c>
    </row>
    <row r="203" spans="1:14" ht="12">
      <c r="A203" s="275">
        <v>201</v>
      </c>
      <c r="B203" s="296">
        <v>5.600000000000008</v>
      </c>
      <c r="C203" s="275">
        <v>4164</v>
      </c>
      <c r="D203" s="275">
        <v>4062</v>
      </c>
      <c r="E203" s="275">
        <v>4039</v>
      </c>
      <c r="F203" s="287">
        <v>8.5</v>
      </c>
      <c r="G203" s="287">
        <v>8.3</v>
      </c>
      <c r="H203" s="285">
        <v>-1.861</v>
      </c>
      <c r="I203" s="285">
        <v>-0.476</v>
      </c>
      <c r="J203" s="287">
        <v>41.1</v>
      </c>
      <c r="K203" s="287">
        <v>40.1</v>
      </c>
      <c r="L203" s="288">
        <v>5.45</v>
      </c>
      <c r="M203" s="287">
        <v>76.4</v>
      </c>
      <c r="N203" s="296">
        <v>5.600000000000008</v>
      </c>
    </row>
    <row r="204" spans="1:14" ht="12">
      <c r="A204" s="275">
        <v>202</v>
      </c>
      <c r="B204" s="296">
        <v>5.620000000000008</v>
      </c>
      <c r="C204" s="275">
        <v>4181</v>
      </c>
      <c r="D204" s="275">
        <v>4079</v>
      </c>
      <c r="E204" s="275">
        <v>4056</v>
      </c>
      <c r="F204" s="287">
        <v>8.5</v>
      </c>
      <c r="G204" s="287">
        <v>8.3</v>
      </c>
      <c r="H204" s="285">
        <v>-1.871</v>
      </c>
      <c r="I204" s="285">
        <v>-0.481</v>
      </c>
      <c r="J204" s="287">
        <v>41.2</v>
      </c>
      <c r="K204" s="287">
        <v>40.2</v>
      </c>
      <c r="L204" s="288">
        <v>5.46</v>
      </c>
      <c r="M204" s="287">
        <v>76.3</v>
      </c>
      <c r="N204" s="296">
        <v>5.620000000000008</v>
      </c>
    </row>
    <row r="205" spans="1:14" ht="12">
      <c r="A205" s="275">
        <v>203</v>
      </c>
      <c r="B205" s="296">
        <v>5.640000000000009</v>
      </c>
      <c r="C205" s="275">
        <v>4198</v>
      </c>
      <c r="D205" s="275">
        <v>4095</v>
      </c>
      <c r="E205" s="275">
        <v>4073</v>
      </c>
      <c r="F205" s="287">
        <v>8.5</v>
      </c>
      <c r="G205" s="287">
        <v>8.3</v>
      </c>
      <c r="H205" s="285">
        <v>-1.882</v>
      </c>
      <c r="I205" s="285">
        <v>-0.487</v>
      </c>
      <c r="J205" s="287">
        <v>41.3</v>
      </c>
      <c r="K205" s="287">
        <v>40.3</v>
      </c>
      <c r="L205" s="288">
        <v>5.46</v>
      </c>
      <c r="M205" s="287">
        <v>76.2</v>
      </c>
      <c r="N205" s="296">
        <v>5.640000000000009</v>
      </c>
    </row>
    <row r="206" spans="1:14" ht="12">
      <c r="A206" s="275">
        <v>204</v>
      </c>
      <c r="B206" s="296">
        <v>5.660000000000009</v>
      </c>
      <c r="C206" s="275">
        <v>4215</v>
      </c>
      <c r="D206" s="275">
        <v>4112</v>
      </c>
      <c r="E206" s="275">
        <v>4089</v>
      </c>
      <c r="F206" s="287">
        <v>8.5</v>
      </c>
      <c r="G206" s="287">
        <v>8.3</v>
      </c>
      <c r="H206" s="285">
        <v>-1.893</v>
      </c>
      <c r="I206" s="285">
        <v>-0.493</v>
      </c>
      <c r="J206" s="287">
        <v>41.5</v>
      </c>
      <c r="K206" s="287">
        <v>40.5</v>
      </c>
      <c r="L206" s="288">
        <v>5.46</v>
      </c>
      <c r="M206" s="287">
        <v>76.2</v>
      </c>
      <c r="N206" s="296">
        <v>5.660000000000009</v>
      </c>
    </row>
    <row r="207" spans="1:14" ht="12">
      <c r="A207" s="275">
        <v>205</v>
      </c>
      <c r="B207" s="296">
        <v>5.6800000000000095</v>
      </c>
      <c r="C207" s="275">
        <v>4232</v>
      </c>
      <c r="D207" s="275">
        <v>4129</v>
      </c>
      <c r="E207" s="275">
        <v>4106</v>
      </c>
      <c r="F207" s="287">
        <v>8.5</v>
      </c>
      <c r="G207" s="287">
        <v>8.3</v>
      </c>
      <c r="H207" s="285">
        <v>-1.903</v>
      </c>
      <c r="I207" s="285">
        <v>-0.498</v>
      </c>
      <c r="J207" s="287">
        <v>41.6</v>
      </c>
      <c r="K207" s="287">
        <v>40.6</v>
      </c>
      <c r="L207" s="288">
        <v>5.47</v>
      </c>
      <c r="M207" s="287">
        <v>76.1</v>
      </c>
      <c r="N207" s="296">
        <v>5.6800000000000095</v>
      </c>
    </row>
    <row r="208" spans="1:14" ht="12">
      <c r="A208" s="275">
        <v>206</v>
      </c>
      <c r="B208" s="296">
        <v>5.70000000000001</v>
      </c>
      <c r="C208" s="275">
        <v>4249</v>
      </c>
      <c r="D208" s="275">
        <v>4145</v>
      </c>
      <c r="E208" s="275">
        <v>4122</v>
      </c>
      <c r="F208" s="287">
        <v>8.6</v>
      </c>
      <c r="G208" s="287">
        <v>8.3</v>
      </c>
      <c r="H208" s="285">
        <v>-1.914</v>
      </c>
      <c r="I208" s="285">
        <v>-0.504</v>
      </c>
      <c r="J208" s="287">
        <v>41.7</v>
      </c>
      <c r="K208" s="287">
        <v>40.7</v>
      </c>
      <c r="L208" s="288">
        <v>5.47</v>
      </c>
      <c r="M208" s="287">
        <v>76</v>
      </c>
      <c r="N208" s="296">
        <v>5.70000000000001</v>
      </c>
    </row>
    <row r="209" spans="1:14" ht="12">
      <c r="A209" s="275">
        <v>207</v>
      </c>
      <c r="B209" s="296">
        <v>5.72000000000001</v>
      </c>
      <c r="C209" s="275">
        <v>4266</v>
      </c>
      <c r="D209" s="275">
        <v>4162</v>
      </c>
      <c r="E209" s="275">
        <v>4139</v>
      </c>
      <c r="F209" s="287">
        <v>8.6</v>
      </c>
      <c r="G209" s="287">
        <v>8.4</v>
      </c>
      <c r="H209" s="285">
        <v>-1.925</v>
      </c>
      <c r="I209" s="285">
        <v>-0.51</v>
      </c>
      <c r="J209" s="287">
        <v>41.8</v>
      </c>
      <c r="K209" s="287">
        <v>40.8</v>
      </c>
      <c r="L209" s="288">
        <v>5.48</v>
      </c>
      <c r="M209" s="287">
        <v>76</v>
      </c>
      <c r="N209" s="296">
        <v>5.72000000000001</v>
      </c>
    </row>
    <row r="210" spans="1:14" ht="12">
      <c r="A210" s="275">
        <v>208</v>
      </c>
      <c r="B210" s="296">
        <v>5.740000000000011</v>
      </c>
      <c r="C210" s="275">
        <v>4283</v>
      </c>
      <c r="D210" s="275">
        <v>4179</v>
      </c>
      <c r="E210" s="275">
        <v>4156</v>
      </c>
      <c r="F210" s="287">
        <v>8.6</v>
      </c>
      <c r="G210" s="287">
        <v>8.4</v>
      </c>
      <c r="H210" s="285">
        <v>-1.935</v>
      </c>
      <c r="I210" s="285">
        <v>-0.516</v>
      </c>
      <c r="J210" s="287">
        <v>41.9</v>
      </c>
      <c r="K210" s="287">
        <v>40.9</v>
      </c>
      <c r="L210" s="288">
        <v>5.48</v>
      </c>
      <c r="M210" s="287">
        <v>75.9</v>
      </c>
      <c r="N210" s="296">
        <v>5.740000000000011</v>
      </c>
    </row>
    <row r="211" spans="1:14" ht="12">
      <c r="A211" s="275">
        <v>209</v>
      </c>
      <c r="B211" s="296">
        <v>5.760000000000011</v>
      </c>
      <c r="C211" s="275">
        <v>4300</v>
      </c>
      <c r="D211" s="275">
        <v>4195</v>
      </c>
      <c r="E211" s="275">
        <v>4172</v>
      </c>
      <c r="F211" s="287">
        <v>8.6</v>
      </c>
      <c r="G211" s="287">
        <v>8.4</v>
      </c>
      <c r="H211" s="285">
        <v>-1.945</v>
      </c>
      <c r="I211" s="285">
        <v>-0.521</v>
      </c>
      <c r="J211" s="287">
        <v>42.1</v>
      </c>
      <c r="K211" s="287">
        <v>41</v>
      </c>
      <c r="L211" s="288">
        <v>5.49</v>
      </c>
      <c r="M211" s="287">
        <v>75.8</v>
      </c>
      <c r="N211" s="296">
        <v>5.760000000000011</v>
      </c>
    </row>
    <row r="212" spans="1:14" ht="12">
      <c r="A212" s="275">
        <v>210</v>
      </c>
      <c r="B212" s="296">
        <v>5.780000000000012</v>
      </c>
      <c r="C212" s="275">
        <v>4317</v>
      </c>
      <c r="D212" s="275">
        <v>4212</v>
      </c>
      <c r="E212" s="275">
        <v>4189</v>
      </c>
      <c r="F212" s="287">
        <v>8.6</v>
      </c>
      <c r="G212" s="287">
        <v>8.4</v>
      </c>
      <c r="H212" s="285">
        <v>-1.955</v>
      </c>
      <c r="I212" s="285">
        <v>-0.527</v>
      </c>
      <c r="J212" s="287">
        <v>42.2</v>
      </c>
      <c r="K212" s="287">
        <v>41.2</v>
      </c>
      <c r="L212" s="288">
        <v>5.49</v>
      </c>
      <c r="M212" s="287">
        <v>75.7</v>
      </c>
      <c r="N212" s="296">
        <v>5.780000000000012</v>
      </c>
    </row>
    <row r="213" spans="1:14" ht="12">
      <c r="A213" s="275">
        <v>211</v>
      </c>
      <c r="B213" s="296">
        <v>5.800000000000012</v>
      </c>
      <c r="C213" s="275">
        <v>4335</v>
      </c>
      <c r="D213" s="275">
        <v>4229</v>
      </c>
      <c r="E213" s="275">
        <v>4206</v>
      </c>
      <c r="F213" s="287">
        <v>8.6</v>
      </c>
      <c r="G213" s="287">
        <v>8.4</v>
      </c>
      <c r="H213" s="285">
        <v>-1.965</v>
      </c>
      <c r="I213" s="285">
        <v>-0.533</v>
      </c>
      <c r="J213" s="287">
        <v>42.3</v>
      </c>
      <c r="K213" s="287">
        <v>41.3</v>
      </c>
      <c r="L213" s="288">
        <v>5.49</v>
      </c>
      <c r="M213" s="287">
        <v>75.7</v>
      </c>
      <c r="N213" s="296">
        <v>5.800000000000012</v>
      </c>
    </row>
    <row r="214" spans="1:14" ht="12">
      <c r="A214" s="275">
        <v>212</v>
      </c>
      <c r="B214" s="296">
        <v>5.820000000000013</v>
      </c>
      <c r="C214" s="275">
        <v>4352</v>
      </c>
      <c r="D214" s="275">
        <v>4246</v>
      </c>
      <c r="E214" s="275">
        <v>4223</v>
      </c>
      <c r="F214" s="287">
        <v>8.6</v>
      </c>
      <c r="G214" s="287">
        <v>8.4</v>
      </c>
      <c r="H214" s="285">
        <v>-1.974</v>
      </c>
      <c r="I214" s="285">
        <v>-0.538</v>
      </c>
      <c r="J214" s="287">
        <v>42.4</v>
      </c>
      <c r="K214" s="287">
        <v>41.4</v>
      </c>
      <c r="L214" s="288">
        <v>5.5</v>
      </c>
      <c r="M214" s="287">
        <v>75.6</v>
      </c>
      <c r="N214" s="296">
        <v>5.820000000000013</v>
      </c>
    </row>
    <row r="215" spans="1:14" ht="12">
      <c r="A215" s="275">
        <v>213</v>
      </c>
      <c r="B215" s="296">
        <v>5.840000000000013</v>
      </c>
      <c r="C215" s="275">
        <v>4369</v>
      </c>
      <c r="D215" s="275">
        <v>4262</v>
      </c>
      <c r="E215" s="275">
        <v>4239</v>
      </c>
      <c r="F215" s="287">
        <v>8.6</v>
      </c>
      <c r="G215" s="287">
        <v>8.4</v>
      </c>
      <c r="H215" s="285">
        <v>-1.983</v>
      </c>
      <c r="I215" s="285">
        <v>-0.544</v>
      </c>
      <c r="J215" s="287">
        <v>42.5</v>
      </c>
      <c r="K215" s="287">
        <v>41.5</v>
      </c>
      <c r="L215" s="288">
        <v>5.5</v>
      </c>
      <c r="M215" s="287">
        <v>75.5</v>
      </c>
      <c r="N215" s="296">
        <v>5.840000000000013</v>
      </c>
    </row>
    <row r="216" spans="1:14" ht="12">
      <c r="A216" s="275">
        <v>214</v>
      </c>
      <c r="B216" s="296">
        <v>5.860000000000014</v>
      </c>
      <c r="C216" s="275">
        <v>4386</v>
      </c>
      <c r="D216" s="275">
        <v>4279</v>
      </c>
      <c r="E216" s="275">
        <v>4256</v>
      </c>
      <c r="F216" s="287">
        <v>8.6</v>
      </c>
      <c r="G216" s="287">
        <v>8.4</v>
      </c>
      <c r="H216" s="285">
        <v>-1.993</v>
      </c>
      <c r="I216" s="285">
        <v>-0.55</v>
      </c>
      <c r="J216" s="287">
        <v>42.7</v>
      </c>
      <c r="K216" s="287">
        <v>41.6</v>
      </c>
      <c r="L216" s="288">
        <v>5.51</v>
      </c>
      <c r="M216" s="287">
        <v>75.4</v>
      </c>
      <c r="N216" s="296">
        <v>5.860000000000014</v>
      </c>
    </row>
    <row r="217" spans="1:14" ht="12">
      <c r="A217" s="275">
        <v>215</v>
      </c>
      <c r="B217" s="296">
        <v>5.880000000000014</v>
      </c>
      <c r="C217" s="275">
        <v>4404</v>
      </c>
      <c r="D217" s="275">
        <v>4296</v>
      </c>
      <c r="E217" s="275">
        <v>4273</v>
      </c>
      <c r="F217" s="287">
        <v>8.6</v>
      </c>
      <c r="G217" s="287">
        <v>8.4</v>
      </c>
      <c r="H217" s="285">
        <v>-2.002</v>
      </c>
      <c r="I217" s="285">
        <v>-0.555</v>
      </c>
      <c r="J217" s="287">
        <v>42.8</v>
      </c>
      <c r="K217" s="287">
        <v>41.7</v>
      </c>
      <c r="L217" s="288">
        <v>5.51</v>
      </c>
      <c r="M217" s="287">
        <v>75.4</v>
      </c>
      <c r="N217" s="296">
        <v>5.880000000000014</v>
      </c>
    </row>
    <row r="218" spans="1:14" ht="12">
      <c r="A218" s="275">
        <v>216</v>
      </c>
      <c r="B218" s="296">
        <v>5.900000000000015</v>
      </c>
      <c r="C218" s="275">
        <v>4421</v>
      </c>
      <c r="D218" s="275">
        <v>4313</v>
      </c>
      <c r="E218" s="275">
        <v>4290</v>
      </c>
      <c r="F218" s="287">
        <v>8.6</v>
      </c>
      <c r="G218" s="287">
        <v>8.4</v>
      </c>
      <c r="H218" s="285">
        <v>-2.011</v>
      </c>
      <c r="I218" s="285">
        <v>-0.561</v>
      </c>
      <c r="J218" s="287">
        <v>42.9</v>
      </c>
      <c r="K218" s="287">
        <v>41.9</v>
      </c>
      <c r="L218" s="288">
        <v>5.52</v>
      </c>
      <c r="M218" s="287">
        <v>75.3</v>
      </c>
      <c r="N218" s="296">
        <v>5.900000000000015</v>
      </c>
    </row>
    <row r="219" spans="1:14" ht="12">
      <c r="A219" s="275">
        <v>217</v>
      </c>
      <c r="B219" s="296">
        <v>5.92</v>
      </c>
      <c r="C219" s="275">
        <v>4438</v>
      </c>
      <c r="D219" s="275">
        <v>4330</v>
      </c>
      <c r="E219" s="275">
        <v>4307</v>
      </c>
      <c r="F219" s="287">
        <v>8.6</v>
      </c>
      <c r="G219" s="287">
        <v>8.4</v>
      </c>
      <c r="H219" s="285">
        <v>-2.021</v>
      </c>
      <c r="I219" s="285">
        <v>-0.567</v>
      </c>
      <c r="J219" s="287">
        <v>43</v>
      </c>
      <c r="K219" s="287">
        <v>42</v>
      </c>
      <c r="N219" s="296">
        <v>5.92</v>
      </c>
    </row>
    <row r="220" spans="2:10" ht="12">
      <c r="B220" s="296">
        <v>5.94</v>
      </c>
      <c r="C220" s="275">
        <v>4455</v>
      </c>
      <c r="D220" s="275">
        <v>4347</v>
      </c>
      <c r="E220" s="275">
        <v>4323</v>
      </c>
      <c r="F220" s="287">
        <v>8.7</v>
      </c>
      <c r="G220" s="287">
        <v>8.4</v>
      </c>
      <c r="H220" s="285">
        <v>-2.03</v>
      </c>
      <c r="I220" s="285">
        <v>-0.573</v>
      </c>
      <c r="J220" s="287">
        <v>43.1</v>
      </c>
    </row>
    <row r="221" spans="2:10" ht="12">
      <c r="B221" s="296">
        <v>5.96</v>
      </c>
      <c r="C221" s="275">
        <v>4473</v>
      </c>
      <c r="H221" s="285">
        <v>-2.039</v>
      </c>
      <c r="I221" s="285">
        <v>-0.578</v>
      </c>
      <c r="J221" s="287">
        <v>43.3</v>
      </c>
    </row>
    <row r="222" spans="2:10" ht="12">
      <c r="B222" s="296">
        <v>5.98</v>
      </c>
      <c r="C222" s="275">
        <v>4490</v>
      </c>
      <c r="H222" s="285">
        <v>-2.048</v>
      </c>
      <c r="I222" s="285">
        <v>-0.584</v>
      </c>
      <c r="J222" s="287">
        <v>43.4</v>
      </c>
    </row>
    <row r="223" spans="2:10" ht="12">
      <c r="B223" s="296">
        <v>6</v>
      </c>
      <c r="C223" s="275">
        <v>4507</v>
      </c>
      <c r="H223" s="285">
        <v>-2.058</v>
      </c>
      <c r="I223" s="285">
        <v>-0.59</v>
      </c>
      <c r="J223" s="287">
        <v>43.5</v>
      </c>
    </row>
    <row r="224" spans="2:10" ht="12">
      <c r="B224" s="296">
        <v>6.02</v>
      </c>
      <c r="C224" s="275">
        <v>4525</v>
      </c>
      <c r="H224" s="285">
        <v>-2.067</v>
      </c>
      <c r="I224" s="285">
        <v>-0.595</v>
      </c>
      <c r="J224" s="287">
        <v>43.6</v>
      </c>
    </row>
    <row r="225" spans="2:10" ht="12">
      <c r="B225" s="296">
        <v>6.04</v>
      </c>
      <c r="C225" s="275">
        <v>4542</v>
      </c>
      <c r="H225" s="285">
        <v>-2.085</v>
      </c>
      <c r="I225" s="285">
        <v>-0.601</v>
      </c>
      <c r="J225" s="287">
        <v>43.7</v>
      </c>
    </row>
    <row r="226" spans="2:10" ht="12">
      <c r="B226" s="296">
        <v>6.06</v>
      </c>
      <c r="C226" s="275">
        <v>4560</v>
      </c>
      <c r="H226" s="285">
        <v>-2.094</v>
      </c>
      <c r="I226" s="285">
        <v>-0.607</v>
      </c>
      <c r="J226" s="287">
        <v>43.9</v>
      </c>
    </row>
    <row r="227" spans="2:10" ht="12">
      <c r="B227" s="296">
        <v>6.08</v>
      </c>
      <c r="C227" s="275">
        <v>4577</v>
      </c>
      <c r="H227" s="285">
        <v>-2.103</v>
      </c>
      <c r="I227" s="285">
        <v>-0.612</v>
      </c>
      <c r="J227" s="287">
        <v>44</v>
      </c>
    </row>
    <row r="228" spans="2:10" ht="12">
      <c r="B228" s="296">
        <v>6.1</v>
      </c>
      <c r="C228" s="275">
        <v>4595</v>
      </c>
      <c r="J228" s="287">
        <v>44.1</v>
      </c>
    </row>
    <row r="229" spans="2:10" ht="12">
      <c r="B229" s="296">
        <v>6.119999999999995</v>
      </c>
      <c r="C229" s="275">
        <v>4612</v>
      </c>
      <c r="J229" s="287">
        <v>44.2</v>
      </c>
    </row>
    <row r="230" spans="2:10" ht="12">
      <c r="B230" s="296">
        <v>6.139999999999994</v>
      </c>
      <c r="C230" s="275">
        <v>4630</v>
      </c>
      <c r="J230" s="287">
        <v>44.4</v>
      </c>
    </row>
    <row r="231" spans="2:10" ht="12">
      <c r="B231" s="296">
        <v>6.159999999999995</v>
      </c>
      <c r="C231" s="275">
        <v>4647</v>
      </c>
      <c r="J231" s="287">
        <v>44.5</v>
      </c>
    </row>
    <row r="232" spans="2:10" ht="12">
      <c r="B232" s="296">
        <v>6.179999999999994</v>
      </c>
      <c r="C232" s="275">
        <v>4665</v>
      </c>
      <c r="J232" s="287">
        <v>44.6</v>
      </c>
    </row>
    <row r="233" spans="2:10" ht="12">
      <c r="B233" s="296">
        <v>6.199999999999994</v>
      </c>
      <c r="J233" s="287">
        <v>44.7</v>
      </c>
    </row>
    <row r="234" spans="2:10" ht="12">
      <c r="B234" s="296">
        <v>6.2199999999999935</v>
      </c>
      <c r="J234" s="287">
        <v>44.9</v>
      </c>
    </row>
    <row r="235" spans="2:10" ht="12">
      <c r="B235" s="296">
        <v>6.239999999999993</v>
      </c>
      <c r="J235" s="287">
        <v>45</v>
      </c>
    </row>
    <row r="236" spans="2:10" ht="12">
      <c r="B236" s="296">
        <v>6.259999999999993</v>
      </c>
      <c r="J236" s="287">
        <v>45.1</v>
      </c>
    </row>
    <row r="237" spans="2:10" ht="12">
      <c r="B237" s="296">
        <v>6.279999999999992</v>
      </c>
      <c r="J237" s="287">
        <v>45.2</v>
      </c>
    </row>
    <row r="238" spans="2:10" ht="12">
      <c r="B238" s="296">
        <v>6.299999999999992</v>
      </c>
      <c r="J238" s="287">
        <v>45.4</v>
      </c>
    </row>
  </sheetData>
  <printOptions/>
  <pageMargins left="0.75" right="0.75" top="1" bottom="1" header="0.5" footer="0.5"/>
  <pageSetup horizontalDpi="360" verticalDpi="360" orientation="portrait" paperSize="9" r:id="rId1"/>
</worksheet>
</file>

<file path=xl/worksheets/sheet12.xml><?xml version="1.0" encoding="utf-8"?>
<worksheet xmlns="http://schemas.openxmlformats.org/spreadsheetml/2006/main" xmlns:r="http://schemas.openxmlformats.org/officeDocument/2006/relationships">
  <sheetPr codeName="Sheet12"/>
  <dimension ref="A2:S299"/>
  <sheetViews>
    <sheetView workbookViewId="0" topLeftCell="M1">
      <selection activeCell="Q4" sqref="Q4"/>
    </sheetView>
  </sheetViews>
  <sheetFormatPr defaultColWidth="9.140625" defaultRowHeight="12.75"/>
  <sheetData>
    <row r="2" spans="1:8" ht="12.75">
      <c r="A2" s="619" t="s">
        <v>104</v>
      </c>
      <c r="B2" s="619">
        <v>5</v>
      </c>
      <c r="C2" s="619">
        <v>10</v>
      </c>
      <c r="D2" s="619">
        <v>20</v>
      </c>
      <c r="E2" s="619">
        <v>30</v>
      </c>
      <c r="F2" s="619">
        <v>45</v>
      </c>
      <c r="G2" s="619">
        <v>60</v>
      </c>
      <c r="H2" s="619">
        <v>75</v>
      </c>
    </row>
    <row r="3" spans="1:19" ht="12.75">
      <c r="A3" s="272">
        <v>4</v>
      </c>
      <c r="B3" s="6">
        <v>0.001</v>
      </c>
      <c r="C3" s="6">
        <v>0.009</v>
      </c>
      <c r="D3" s="6">
        <v>0.073</v>
      </c>
      <c r="E3" s="6">
        <v>0.19</v>
      </c>
      <c r="F3" s="6">
        <v>0.148</v>
      </c>
      <c r="G3" s="6">
        <v>-0.161</v>
      </c>
      <c r="H3" s="6">
        <v>-0.638</v>
      </c>
      <c r="J3" s="354">
        <f>GrainStab!E9</f>
        <v>5.615109411764713</v>
      </c>
      <c r="K3" s="290" t="s">
        <v>104</v>
      </c>
      <c r="L3" s="290" t="s">
        <v>104</v>
      </c>
      <c r="P3" s="3" t="s">
        <v>106</v>
      </c>
      <c r="Q3" s="3" t="s">
        <v>107</v>
      </c>
      <c r="R3" s="625" t="s">
        <v>108</v>
      </c>
      <c r="S3" s="4" t="s">
        <v>120</v>
      </c>
    </row>
    <row r="4" spans="1:18" ht="15">
      <c r="A4" s="272">
        <v>4.02</v>
      </c>
      <c r="B4" s="6">
        <v>0.002</v>
      </c>
      <c r="C4" s="6">
        <v>0.009</v>
      </c>
      <c r="D4" s="6">
        <v>0.073</v>
      </c>
      <c r="E4" s="6">
        <v>0.186</v>
      </c>
      <c r="F4" s="6">
        <v>0.146</v>
      </c>
      <c r="G4" s="6">
        <v>-1.161</v>
      </c>
      <c r="H4" s="6">
        <v>-0.636</v>
      </c>
      <c r="J4" s="298"/>
      <c r="K4" s="299" t="str">
        <f>CONCATENATE("&lt;","=",J3)</f>
        <v>&lt;=5,61510941176471</v>
      </c>
      <c r="L4" s="489" t="str">
        <f>CONCATENATE("&gt;","=",J3)</f>
        <v>&gt;=5,61510941176471</v>
      </c>
      <c r="O4" s="574" t="s">
        <v>386</v>
      </c>
      <c r="P4" s="201">
        <v>45</v>
      </c>
      <c r="Q4" s="201">
        <v>60</v>
      </c>
      <c r="R4" s="621">
        <f>Q4-P4</f>
        <v>15</v>
      </c>
    </row>
    <row r="5" spans="1:19" ht="12.75">
      <c r="A5" s="272">
        <v>4.04</v>
      </c>
      <c r="B5" s="6">
        <v>0.001</v>
      </c>
      <c r="C5" s="6">
        <v>0.009</v>
      </c>
      <c r="D5" s="6">
        <v>0.073</v>
      </c>
      <c r="E5" s="6">
        <v>0.182</v>
      </c>
      <c r="F5" s="6">
        <v>0.145</v>
      </c>
      <c r="G5" s="6">
        <v>-0.161</v>
      </c>
      <c r="H5" s="6">
        <v>-0.635</v>
      </c>
      <c r="J5" s="275"/>
      <c r="K5" s="275"/>
      <c r="L5" s="275"/>
      <c r="O5" s="38" t="s">
        <v>429</v>
      </c>
      <c r="P5" s="201">
        <f>GrainStab!G15</f>
        <v>0.6367095671326521</v>
      </c>
      <c r="Q5" s="201">
        <f>GrainStab!H15</f>
        <v>0.5834559929311038</v>
      </c>
      <c r="R5" s="621">
        <f>Q5-P5</f>
        <v>-0.053253574201548304</v>
      </c>
      <c r="S5" s="149">
        <f>R4/R5</f>
        <v>-281.6712347462283</v>
      </c>
    </row>
    <row r="6" spans="1:15" ht="12.75">
      <c r="A6" s="272">
        <v>4.06</v>
      </c>
      <c r="B6" s="6">
        <v>0.001</v>
      </c>
      <c r="C6" s="6">
        <v>0.009</v>
      </c>
      <c r="D6" s="6">
        <v>0.072</v>
      </c>
      <c r="E6" s="6">
        <v>0.179</v>
      </c>
      <c r="F6" s="6">
        <v>0.143</v>
      </c>
      <c r="G6" s="6">
        <v>-0.162</v>
      </c>
      <c r="H6" s="6">
        <v>-0.634</v>
      </c>
      <c r="J6" s="304"/>
      <c r="K6" s="317">
        <f>DMAX($A$2:$A$96,A2,K3:K4)</f>
        <v>5.6</v>
      </c>
      <c r="L6" s="317">
        <f>DMIN($A$2:$A$96,A2,L3:L4)</f>
        <v>5.62</v>
      </c>
      <c r="O6" s="57"/>
    </row>
    <row r="7" spans="1:17" ht="15.75" thickBot="1">
      <c r="A7" s="272">
        <v>4.08</v>
      </c>
      <c r="B7" s="6">
        <v>0.002</v>
      </c>
      <c r="C7" s="6">
        <v>0.009</v>
      </c>
      <c r="D7" s="6">
        <v>0.072</v>
      </c>
      <c r="E7" s="6">
        <v>0.174</v>
      </c>
      <c r="F7" s="6">
        <v>0.141</v>
      </c>
      <c r="G7" s="6">
        <v>-0.163</v>
      </c>
      <c r="H7" s="6">
        <v>-0.633</v>
      </c>
      <c r="M7" s="97"/>
      <c r="O7" s="574" t="s">
        <v>386</v>
      </c>
      <c r="P7" s="259">
        <v>53.3</v>
      </c>
      <c r="Q7" s="621">
        <f>P7-P4</f>
        <v>8.299999999999997</v>
      </c>
    </row>
    <row r="8" spans="1:16" ht="12.75">
      <c r="A8" s="272">
        <v>4.1</v>
      </c>
      <c r="B8" s="6">
        <v>0.002</v>
      </c>
      <c r="C8" s="6">
        <v>0.009</v>
      </c>
      <c r="D8" s="6">
        <v>0.071</v>
      </c>
      <c r="E8" s="6">
        <v>0.171</v>
      </c>
      <c r="F8" s="6">
        <v>0.139</v>
      </c>
      <c r="G8" s="6">
        <v>-0.164</v>
      </c>
      <c r="H8" s="6">
        <v>-0.632</v>
      </c>
      <c r="J8" s="314" t="s">
        <v>278</v>
      </c>
      <c r="K8" s="294">
        <f>K6</f>
        <v>5.6</v>
      </c>
      <c r="L8" s="294">
        <f>L6</f>
        <v>5.62</v>
      </c>
      <c r="M8" s="295">
        <f>IF(L8-K8=0,1,L8-K8)</f>
        <v>0.020000000000000462</v>
      </c>
      <c r="O8" s="238" t="s">
        <v>429</v>
      </c>
      <c r="P8" s="622">
        <f>P5+Q7/S5</f>
        <v>0.6072425894077954</v>
      </c>
    </row>
    <row r="9" spans="1:13" ht="12.75">
      <c r="A9" s="272">
        <v>4.12</v>
      </c>
      <c r="B9" s="6">
        <v>0.001</v>
      </c>
      <c r="C9" s="6">
        <v>0.009</v>
      </c>
      <c r="D9" s="6">
        <v>0.071</v>
      </c>
      <c r="E9" s="6">
        <v>0.166</v>
      </c>
      <c r="F9" s="6">
        <v>0.137</v>
      </c>
      <c r="G9" s="6">
        <v>-0.165</v>
      </c>
      <c r="H9" s="6">
        <v>-0.631</v>
      </c>
      <c r="J9" s="316" t="s">
        <v>380</v>
      </c>
      <c r="K9" s="317">
        <f>VLOOKUP(K8,$A$2:$H$99,2,FALSE)</f>
        <v>0.001</v>
      </c>
      <c r="L9" s="317">
        <f>VLOOKUP(L8,$A$2:$H$99,2,FALSE)</f>
        <v>0</v>
      </c>
      <c r="M9" s="295">
        <f>IF(L9-K9=0,1,L9-K9)</f>
        <v>-0.001</v>
      </c>
    </row>
    <row r="10" spans="1:13" ht="12.75">
      <c r="A10" s="272">
        <v>4.14</v>
      </c>
      <c r="B10" s="6">
        <v>0.001</v>
      </c>
      <c r="C10" s="6">
        <v>0.009</v>
      </c>
      <c r="D10" s="6">
        <v>0.071</v>
      </c>
      <c r="E10" s="6">
        <v>0.163</v>
      </c>
      <c r="F10" s="6">
        <v>0.135</v>
      </c>
      <c r="G10" s="6">
        <v>-0.166</v>
      </c>
      <c r="H10" s="6">
        <v>-0.631</v>
      </c>
      <c r="J10" s="301"/>
      <c r="K10" s="303"/>
      <c r="L10" s="303"/>
      <c r="M10" s="295"/>
    </row>
    <row r="11" spans="1:13" ht="12.75">
      <c r="A11" s="272">
        <v>4.16</v>
      </c>
      <c r="B11" s="6">
        <v>0.002</v>
      </c>
      <c r="C11" s="6">
        <v>0.009</v>
      </c>
      <c r="D11" s="6">
        <v>0.071</v>
      </c>
      <c r="E11" s="6">
        <v>0.159</v>
      </c>
      <c r="F11" s="6">
        <v>0.133</v>
      </c>
      <c r="G11" s="6">
        <v>-0.167</v>
      </c>
      <c r="H11" s="6">
        <v>-0.63</v>
      </c>
      <c r="J11" s="308"/>
      <c r="K11" s="321">
        <f>J3</f>
        <v>5.615109411764713</v>
      </c>
      <c r="L11" s="303">
        <f>K11-K8</f>
        <v>0.015109411764713698</v>
      </c>
      <c r="M11" s="295">
        <f>M8/M9</f>
        <v>-20.000000000000462</v>
      </c>
    </row>
    <row r="12" spans="1:13" ht="13.5" thickBot="1">
      <c r="A12" s="272">
        <v>4.18</v>
      </c>
      <c r="B12" s="6">
        <v>0.001</v>
      </c>
      <c r="C12" s="6">
        <v>0.009</v>
      </c>
      <c r="D12" s="6">
        <v>0.07</v>
      </c>
      <c r="E12" s="6">
        <v>0.155</v>
      </c>
      <c r="F12" s="6">
        <v>0.131</v>
      </c>
      <c r="G12" s="6">
        <v>-0.169</v>
      </c>
      <c r="H12" s="6">
        <v>-0.63</v>
      </c>
      <c r="J12" s="311" t="s">
        <v>422</v>
      </c>
      <c r="K12" s="319">
        <f>IF(K9=L9,K9,K9+L11/M11)</f>
        <v>0.00024452941176433254</v>
      </c>
      <c r="L12" s="310"/>
      <c r="M12" s="313"/>
    </row>
    <row r="13" spans="1:13" ht="13.5" thickBot="1">
      <c r="A13" s="272">
        <v>4.2</v>
      </c>
      <c r="B13" s="6">
        <v>0.001</v>
      </c>
      <c r="C13" s="6">
        <v>0.009</v>
      </c>
      <c r="D13" s="6">
        <v>0.069</v>
      </c>
      <c r="E13" s="6">
        <v>0.15</v>
      </c>
      <c r="F13" s="6">
        <v>0.129</v>
      </c>
      <c r="G13" s="6">
        <v>-0.17</v>
      </c>
      <c r="H13" s="6">
        <v>-0.631</v>
      </c>
      <c r="M13" s="20"/>
    </row>
    <row r="14" spans="1:13" ht="12.75">
      <c r="A14" s="272">
        <v>4.22</v>
      </c>
      <c r="B14" s="6">
        <v>0.001</v>
      </c>
      <c r="C14" s="6">
        <v>0.009</v>
      </c>
      <c r="D14" s="6">
        <v>0.069</v>
      </c>
      <c r="E14" s="6">
        <v>0.146</v>
      </c>
      <c r="F14" s="6">
        <v>0.127</v>
      </c>
      <c r="G14" s="6">
        <v>-0.172</v>
      </c>
      <c r="H14" s="6">
        <v>-0.631</v>
      </c>
      <c r="J14" s="314" t="s">
        <v>278</v>
      </c>
      <c r="K14" s="294">
        <f>$K$6</f>
        <v>5.6</v>
      </c>
      <c r="L14" s="294">
        <f>$L$6</f>
        <v>5.62</v>
      </c>
      <c r="M14" s="295">
        <f>IF(L14-K14=0,1,L14-K14)</f>
        <v>0.020000000000000462</v>
      </c>
    </row>
    <row r="15" spans="1:13" ht="12.75">
      <c r="A15" s="272">
        <v>4.24</v>
      </c>
      <c r="B15" s="6">
        <v>0.001</v>
      </c>
      <c r="C15" s="6">
        <v>0.008</v>
      </c>
      <c r="D15" s="6">
        <v>0.069</v>
      </c>
      <c r="E15" s="6">
        <v>0.142</v>
      </c>
      <c r="F15" s="6">
        <v>0.124</v>
      </c>
      <c r="G15" s="6">
        <v>-0.174</v>
      </c>
      <c r="H15" s="6">
        <v>-0.631</v>
      </c>
      <c r="J15" s="316" t="s">
        <v>380</v>
      </c>
      <c r="K15" s="317">
        <f>VLOOKUP(K14,$A$2:$H$99,3,FALSE)</f>
        <v>0.005</v>
      </c>
      <c r="L15" s="317">
        <f>VLOOKUP(L14,$A$2:$H$99,3,FALSE)</f>
        <v>0.005</v>
      </c>
      <c r="M15" s="295">
        <f>IF(L15-K15=0,1,L15-K15)</f>
        <v>1</v>
      </c>
    </row>
    <row r="16" spans="1:13" ht="12.75">
      <c r="A16" s="272">
        <v>4.26</v>
      </c>
      <c r="B16" s="6">
        <v>0.001</v>
      </c>
      <c r="C16" s="6">
        <v>0.009</v>
      </c>
      <c r="D16" s="6">
        <v>0.069</v>
      </c>
      <c r="E16" s="6">
        <v>0.138</v>
      </c>
      <c r="F16" s="6">
        <v>0.122</v>
      </c>
      <c r="G16" s="6">
        <v>-0.175</v>
      </c>
      <c r="H16" s="6">
        <v>-0.631</v>
      </c>
      <c r="J16" s="301"/>
      <c r="K16" s="303"/>
      <c r="L16" s="303"/>
      <c r="M16" s="295"/>
    </row>
    <row r="17" spans="1:13" ht="12.75">
      <c r="A17" s="272">
        <v>4.28</v>
      </c>
      <c r="B17" s="6">
        <v>0.001</v>
      </c>
      <c r="C17" s="6">
        <v>0.008</v>
      </c>
      <c r="D17" s="6">
        <v>0.068</v>
      </c>
      <c r="E17" s="6">
        <v>0.134</v>
      </c>
      <c r="F17" s="6">
        <v>0.12</v>
      </c>
      <c r="G17" s="6">
        <v>-0.177</v>
      </c>
      <c r="H17" s="6">
        <v>-0.631</v>
      </c>
      <c r="J17" s="308"/>
      <c r="K17" s="321">
        <f>$J$3</f>
        <v>5.615109411764713</v>
      </c>
      <c r="L17" s="303">
        <f>K17-K14</f>
        <v>0.015109411764713698</v>
      </c>
      <c r="M17" s="295">
        <f>M14/M15</f>
        <v>0.020000000000000462</v>
      </c>
    </row>
    <row r="18" spans="1:13" ht="13.5" thickBot="1">
      <c r="A18" s="272">
        <v>4.3</v>
      </c>
      <c r="B18" s="6">
        <v>0.001</v>
      </c>
      <c r="C18" s="6">
        <v>0.008</v>
      </c>
      <c r="D18" s="6">
        <v>0.068</v>
      </c>
      <c r="E18" s="6">
        <v>0.13</v>
      </c>
      <c r="F18" s="6">
        <v>0.117</v>
      </c>
      <c r="G18" s="6">
        <v>-0.179</v>
      </c>
      <c r="H18" s="6">
        <v>-0.631</v>
      </c>
      <c r="J18" s="311" t="s">
        <v>423</v>
      </c>
      <c r="K18" s="319">
        <f>IF(K15=L15,K15,K15+L17/M17)</f>
        <v>0.005</v>
      </c>
      <c r="L18" s="310"/>
      <c r="M18" s="313"/>
    </row>
    <row r="19" spans="1:8" ht="13.5" thickBot="1">
      <c r="A19" s="272">
        <v>4.32</v>
      </c>
      <c r="B19" s="6">
        <v>0.001</v>
      </c>
      <c r="C19" s="6">
        <v>0.009</v>
      </c>
      <c r="D19" s="6">
        <v>0.068</v>
      </c>
      <c r="E19" s="6">
        <v>0.125</v>
      </c>
      <c r="F19" s="6">
        <v>0.113</v>
      </c>
      <c r="G19" s="6">
        <v>-0.181</v>
      </c>
      <c r="H19" s="6">
        <v>-0.632</v>
      </c>
    </row>
    <row r="20" spans="1:13" ht="12.75">
      <c r="A20" s="272">
        <v>4.34</v>
      </c>
      <c r="B20" s="6">
        <v>0.001</v>
      </c>
      <c r="C20" s="6">
        <v>0.008</v>
      </c>
      <c r="D20" s="6">
        <v>0.068</v>
      </c>
      <c r="E20" s="6">
        <v>0.121</v>
      </c>
      <c r="F20" s="6">
        <v>0.11</v>
      </c>
      <c r="G20" s="6">
        <v>-0.183</v>
      </c>
      <c r="H20" s="6">
        <v>-0.632</v>
      </c>
      <c r="J20" s="314" t="s">
        <v>278</v>
      </c>
      <c r="K20" s="294">
        <f>$K$6</f>
        <v>5.6</v>
      </c>
      <c r="L20" s="294">
        <f>$L$6</f>
        <v>5.62</v>
      </c>
      <c r="M20" s="295">
        <f>IF(L20-K20=0,1,L20-K20)</f>
        <v>0.020000000000000462</v>
      </c>
    </row>
    <row r="21" spans="1:13" ht="12.75">
      <c r="A21" s="272">
        <v>4.36</v>
      </c>
      <c r="B21" s="6">
        <v>0.001</v>
      </c>
      <c r="C21" s="6">
        <v>0.008</v>
      </c>
      <c r="D21" s="6">
        <v>0.067</v>
      </c>
      <c r="E21" s="6">
        <v>0.116</v>
      </c>
      <c r="F21" s="6">
        <v>0.107</v>
      </c>
      <c r="G21" s="6">
        <v>-0.186</v>
      </c>
      <c r="H21" s="6">
        <v>-0.633</v>
      </c>
      <c r="J21" s="316" t="s">
        <v>380</v>
      </c>
      <c r="K21" s="317">
        <f>VLOOKUP(K20,$A$2:$H$99,4,FALSE)</f>
        <v>-0.059</v>
      </c>
      <c r="L21" s="317">
        <f>VLOOKUP(L20,$A$2:$H$99,4,FALSE)</f>
        <v>-0.062</v>
      </c>
      <c r="M21" s="295">
        <f>IF(L21-K21=0,1,L21-K21)</f>
        <v>-0.0030000000000000027</v>
      </c>
    </row>
    <row r="22" spans="1:13" ht="12.75">
      <c r="A22" s="272">
        <v>4.38</v>
      </c>
      <c r="B22" s="6">
        <v>0.001</v>
      </c>
      <c r="C22" s="6">
        <v>0.008</v>
      </c>
      <c r="D22" s="6">
        <v>0.067</v>
      </c>
      <c r="E22" s="6">
        <v>0.112</v>
      </c>
      <c r="F22" s="6">
        <v>0.104</v>
      </c>
      <c r="G22" s="6">
        <v>-0.189</v>
      </c>
      <c r="H22" s="6">
        <v>-0.634</v>
      </c>
      <c r="J22" s="301"/>
      <c r="K22" s="303"/>
      <c r="L22" s="303"/>
      <c r="M22" s="295"/>
    </row>
    <row r="23" spans="1:13" ht="12.75">
      <c r="A23" s="272">
        <v>4.4</v>
      </c>
      <c r="B23" s="6">
        <v>0.001</v>
      </c>
      <c r="C23" s="6">
        <v>0.008</v>
      </c>
      <c r="D23" s="6">
        <v>0.067</v>
      </c>
      <c r="E23" s="6">
        <v>0.109</v>
      </c>
      <c r="F23" s="6">
        <v>0.101</v>
      </c>
      <c r="G23" s="6">
        <v>-0.192</v>
      </c>
      <c r="H23" s="6">
        <v>-0.635</v>
      </c>
      <c r="J23" s="308"/>
      <c r="K23" s="321">
        <f>$J$3</f>
        <v>5.615109411764713</v>
      </c>
      <c r="L23" s="303">
        <f>K23-K20</f>
        <v>0.015109411764713698</v>
      </c>
      <c r="M23" s="295">
        <f>M20/M21</f>
        <v>-6.666666666666814</v>
      </c>
    </row>
    <row r="24" spans="1:13" ht="13.5" thickBot="1">
      <c r="A24" s="272">
        <v>4.42</v>
      </c>
      <c r="B24" s="6">
        <v>0.002</v>
      </c>
      <c r="C24" s="6">
        <v>0.009</v>
      </c>
      <c r="D24" s="6">
        <v>0.067</v>
      </c>
      <c r="E24" s="6">
        <v>0.104</v>
      </c>
      <c r="F24" s="6">
        <v>0.097</v>
      </c>
      <c r="G24" s="6">
        <v>-0.194</v>
      </c>
      <c r="H24" s="6">
        <v>-0.636</v>
      </c>
      <c r="J24" s="311" t="s">
        <v>424</v>
      </c>
      <c r="K24" s="319">
        <f>IF(K21=L21,K21,K21+L23/M23)</f>
        <v>-0.061266411764707</v>
      </c>
      <c r="L24" s="310"/>
      <c r="M24" s="313"/>
    </row>
    <row r="25" spans="1:13" ht="13.5" thickBot="1">
      <c r="A25" s="272">
        <v>4.44</v>
      </c>
      <c r="B25" s="6">
        <v>0.001</v>
      </c>
      <c r="C25" s="6">
        <v>0.009</v>
      </c>
      <c r="D25" s="6">
        <v>0.066</v>
      </c>
      <c r="E25" s="6">
        <v>0.1</v>
      </c>
      <c r="F25" s="6">
        <v>0.093</v>
      </c>
      <c r="G25" s="6">
        <v>-0.197</v>
      </c>
      <c r="H25" s="6">
        <v>-0.637</v>
      </c>
      <c r="M25" s="20"/>
    </row>
    <row r="26" spans="1:13" ht="12.75">
      <c r="A26" s="272">
        <v>4.46</v>
      </c>
      <c r="B26" s="6">
        <v>0.001</v>
      </c>
      <c r="C26" s="6">
        <v>0.008</v>
      </c>
      <c r="D26" s="6">
        <v>0.065</v>
      </c>
      <c r="E26" s="6">
        <v>0.095</v>
      </c>
      <c r="F26" s="6">
        <v>0.09</v>
      </c>
      <c r="G26" s="6">
        <v>-0.2</v>
      </c>
      <c r="H26" s="6">
        <v>-0.638</v>
      </c>
      <c r="J26" s="314" t="s">
        <v>278</v>
      </c>
      <c r="K26" s="294">
        <f>$K$6</f>
        <v>5.6</v>
      </c>
      <c r="L26" s="294">
        <f>$L$6</f>
        <v>5.62</v>
      </c>
      <c r="M26" s="295">
        <f>IF(L26-K26=0,1,L26-K26)</f>
        <v>0.020000000000000462</v>
      </c>
    </row>
    <row r="27" spans="1:13" ht="12.75">
      <c r="A27" s="272">
        <v>4.48</v>
      </c>
      <c r="B27" s="6">
        <v>0.001</v>
      </c>
      <c r="C27" s="6">
        <v>0.008</v>
      </c>
      <c r="D27" s="6">
        <v>0.066</v>
      </c>
      <c r="E27" s="6">
        <v>0.09</v>
      </c>
      <c r="F27" s="6">
        <v>0.087</v>
      </c>
      <c r="G27" s="6">
        <v>-0.202</v>
      </c>
      <c r="H27" s="6">
        <v>-0.639</v>
      </c>
      <c r="J27" s="316" t="s">
        <v>380</v>
      </c>
      <c r="K27" s="317">
        <f>VLOOKUP(K26,$A$2:$H$99,5,FALSE)</f>
        <v>-0.132</v>
      </c>
      <c r="L27" s="317">
        <f>VLOOKUP(L26,$A$2:$H$99,5,FALSE)</f>
        <v>-0.137</v>
      </c>
      <c r="M27" s="295">
        <f>IF(L27-K27=0,1,L27-K27)</f>
        <v>-0.0050000000000000044</v>
      </c>
    </row>
    <row r="28" spans="1:13" ht="12.75">
      <c r="A28" s="272">
        <v>4.5</v>
      </c>
      <c r="B28" s="6">
        <v>0.001</v>
      </c>
      <c r="C28" s="6">
        <v>0.008</v>
      </c>
      <c r="D28" s="6">
        <v>0.065</v>
      </c>
      <c r="E28" s="6">
        <v>0.087</v>
      </c>
      <c r="F28" s="6">
        <v>0.083</v>
      </c>
      <c r="G28" s="6">
        <v>-0.206</v>
      </c>
      <c r="H28" s="6">
        <v>-0.641</v>
      </c>
      <c r="J28" s="301"/>
      <c r="K28" s="303"/>
      <c r="L28" s="303"/>
      <c r="M28" s="295"/>
    </row>
    <row r="29" spans="1:13" ht="12.75">
      <c r="A29" s="272">
        <v>4.52</v>
      </c>
      <c r="B29" s="6">
        <v>0.001</v>
      </c>
      <c r="C29" s="6">
        <v>0.008</v>
      </c>
      <c r="D29" s="6">
        <v>0.064</v>
      </c>
      <c r="E29" s="6">
        <v>0.082</v>
      </c>
      <c r="F29" s="6">
        <v>0.079</v>
      </c>
      <c r="G29" s="6">
        <v>-0.209</v>
      </c>
      <c r="H29" s="6">
        <v>-0.643</v>
      </c>
      <c r="J29" s="308"/>
      <c r="K29" s="321">
        <f>$J$3</f>
        <v>5.615109411764713</v>
      </c>
      <c r="L29" s="303">
        <f>K29-K26</f>
        <v>0.015109411764713698</v>
      </c>
      <c r="M29" s="295">
        <f>M26/M27</f>
        <v>-4.000000000000089</v>
      </c>
    </row>
    <row r="30" spans="1:13" ht="13.5" thickBot="1">
      <c r="A30" s="272">
        <v>4.54</v>
      </c>
      <c r="B30" s="6">
        <v>0.001</v>
      </c>
      <c r="C30" s="6">
        <v>0.008</v>
      </c>
      <c r="D30" s="6">
        <v>0.063</v>
      </c>
      <c r="E30" s="6">
        <v>0.078</v>
      </c>
      <c r="F30" s="6">
        <v>0.076</v>
      </c>
      <c r="G30" s="6">
        <v>-0.212</v>
      </c>
      <c r="H30" s="6">
        <v>-0.645</v>
      </c>
      <c r="J30" s="311" t="s">
        <v>425</v>
      </c>
      <c r="K30" s="319">
        <f>IF(K27=L27,K27,K27+L29/M29)</f>
        <v>-0.13577735294117835</v>
      </c>
      <c r="L30" s="310"/>
      <c r="M30" s="313"/>
    </row>
    <row r="31" spans="1:13" ht="13.5" thickBot="1">
      <c r="A31" s="272">
        <v>4.56</v>
      </c>
      <c r="B31" s="6">
        <v>0.001</v>
      </c>
      <c r="C31" s="6">
        <v>0.008</v>
      </c>
      <c r="D31" s="6">
        <v>0.062</v>
      </c>
      <c r="E31" s="6">
        <v>0.074</v>
      </c>
      <c r="F31" s="6">
        <v>0.073</v>
      </c>
      <c r="G31" s="6">
        <v>-0.216</v>
      </c>
      <c r="H31" s="6">
        <v>-0.646</v>
      </c>
      <c r="M31" s="20"/>
    </row>
    <row r="32" spans="1:13" ht="12.75">
      <c r="A32" s="272">
        <v>4.58</v>
      </c>
      <c r="B32" s="6">
        <v>0.001</v>
      </c>
      <c r="C32" s="6">
        <v>0.007</v>
      </c>
      <c r="D32" s="6">
        <v>0.061</v>
      </c>
      <c r="E32" s="6">
        <v>0.069</v>
      </c>
      <c r="F32" s="6">
        <v>0.069</v>
      </c>
      <c r="G32" s="6">
        <v>-0.22</v>
      </c>
      <c r="H32" s="6">
        <v>-0.648</v>
      </c>
      <c r="J32" s="314" t="s">
        <v>278</v>
      </c>
      <c r="K32" s="294">
        <f>$K$6</f>
        <v>5.6</v>
      </c>
      <c r="L32" s="294">
        <f>$L$6</f>
        <v>5.62</v>
      </c>
      <c r="M32" s="295">
        <f>IF(L32-K32=0,1,L32-K32)</f>
        <v>0.020000000000000462</v>
      </c>
    </row>
    <row r="33" spans="1:13" ht="12.75">
      <c r="A33" s="272">
        <v>4.6</v>
      </c>
      <c r="B33" s="6">
        <v>0.001</v>
      </c>
      <c r="C33" s="6">
        <v>0.007</v>
      </c>
      <c r="D33" s="6">
        <v>0.06</v>
      </c>
      <c r="E33" s="6">
        <v>0.065</v>
      </c>
      <c r="F33" s="6">
        <v>0.064</v>
      </c>
      <c r="G33" s="6">
        <v>-0.224</v>
      </c>
      <c r="H33" s="6">
        <v>-0.65</v>
      </c>
      <c r="J33" s="316" t="s">
        <v>380</v>
      </c>
      <c r="K33" s="317">
        <f>VLOOKUP(K32,$A$2:$H$99,6,FALSE)</f>
        <v>-0.265</v>
      </c>
      <c r="L33" s="317">
        <f>VLOOKUP(L32,$A$2:$H$99,6,FALSE)</f>
        <v>-0.273</v>
      </c>
      <c r="M33" s="295">
        <f>IF(L33-K33=0,1,L33-K33)</f>
        <v>-0.008000000000000007</v>
      </c>
    </row>
    <row r="34" spans="1:13" ht="12.75">
      <c r="A34" s="272">
        <v>4.62</v>
      </c>
      <c r="B34" s="6">
        <v>0.001</v>
      </c>
      <c r="C34" s="6">
        <v>0.007</v>
      </c>
      <c r="D34" s="6">
        <v>0.059</v>
      </c>
      <c r="E34" s="6">
        <v>0.061</v>
      </c>
      <c r="F34" s="6">
        <v>0.059</v>
      </c>
      <c r="G34" s="6">
        <v>-0.228</v>
      </c>
      <c r="H34" s="6">
        <v>-0.652</v>
      </c>
      <c r="J34" s="301"/>
      <c r="K34" s="303"/>
      <c r="L34" s="303"/>
      <c r="M34" s="295"/>
    </row>
    <row r="35" spans="1:13" ht="12.75">
      <c r="A35" s="272">
        <v>4.64</v>
      </c>
      <c r="B35" s="6">
        <v>0.001</v>
      </c>
      <c r="C35" s="6">
        <v>0.007</v>
      </c>
      <c r="D35" s="6">
        <v>0.058</v>
      </c>
      <c r="E35" s="6">
        <v>0.058</v>
      </c>
      <c r="F35" s="6">
        <v>0.054</v>
      </c>
      <c r="G35" s="6">
        <v>-0.232</v>
      </c>
      <c r="H35" s="6">
        <v>-0.655</v>
      </c>
      <c r="J35" s="308"/>
      <c r="K35" s="321">
        <f>$J$3</f>
        <v>5.615109411764713</v>
      </c>
      <c r="L35" s="303">
        <f>K35-K32</f>
        <v>0.015109411764713698</v>
      </c>
      <c r="M35" s="295">
        <f>M32/M33</f>
        <v>-2.5000000000000555</v>
      </c>
    </row>
    <row r="36" spans="1:13" ht="13.5" thickBot="1">
      <c r="A36" s="272">
        <v>4.66</v>
      </c>
      <c r="B36" s="6">
        <v>0.001</v>
      </c>
      <c r="C36" s="6">
        <v>0.008</v>
      </c>
      <c r="D36" s="6">
        <v>0.056</v>
      </c>
      <c r="E36" s="6">
        <v>0.054</v>
      </c>
      <c r="F36" s="6">
        <v>0.049</v>
      </c>
      <c r="G36" s="6">
        <v>-0.235</v>
      </c>
      <c r="H36" s="6">
        <v>-0.657</v>
      </c>
      <c r="J36" s="311" t="s">
        <v>426</v>
      </c>
      <c r="K36" s="319">
        <f>IF(K33=L33,K33,K33+L35/M35)</f>
        <v>-0.27104376470588537</v>
      </c>
      <c r="L36" s="310"/>
      <c r="M36" s="313"/>
    </row>
    <row r="37" spans="1:13" ht="13.5" thickBot="1">
      <c r="A37" s="272">
        <v>4.68</v>
      </c>
      <c r="B37" s="6">
        <v>0.001</v>
      </c>
      <c r="C37" s="6">
        <v>0.008</v>
      </c>
      <c r="D37" s="6">
        <v>0.055</v>
      </c>
      <c r="E37" s="6">
        <v>0.05</v>
      </c>
      <c r="F37" s="6">
        <v>0.044</v>
      </c>
      <c r="G37" s="6">
        <v>-0.24</v>
      </c>
      <c r="H37" s="6">
        <v>-0.659</v>
      </c>
      <c r="M37" s="20"/>
    </row>
    <row r="38" spans="1:13" ht="12.75">
      <c r="A38" s="272">
        <v>4.7</v>
      </c>
      <c r="B38" s="6">
        <v>0.001</v>
      </c>
      <c r="C38" s="6">
        <v>0.008</v>
      </c>
      <c r="D38" s="6">
        <v>0.054</v>
      </c>
      <c r="E38" s="6">
        <v>0.046</v>
      </c>
      <c r="F38" s="6">
        <v>0.039</v>
      </c>
      <c r="G38" s="6">
        <v>-0.244</v>
      </c>
      <c r="H38" s="6">
        <v>-0.661</v>
      </c>
      <c r="J38" s="314" t="s">
        <v>278</v>
      </c>
      <c r="K38" s="294">
        <f>$K$6</f>
        <v>5.6</v>
      </c>
      <c r="L38" s="294">
        <f>$L$6</f>
        <v>5.62</v>
      </c>
      <c r="M38" s="295">
        <f>IF(L38-K38=0,1,L38-K38)</f>
        <v>0.020000000000000462</v>
      </c>
    </row>
    <row r="39" spans="1:13" ht="12.75">
      <c r="A39" s="272">
        <v>4.72</v>
      </c>
      <c r="B39" s="6">
        <v>0.001</v>
      </c>
      <c r="C39" s="6">
        <v>0.008</v>
      </c>
      <c r="D39" s="6">
        <v>0.053</v>
      </c>
      <c r="E39" s="6">
        <v>0.042</v>
      </c>
      <c r="F39" s="6">
        <v>0.035</v>
      </c>
      <c r="G39" s="6">
        <v>-0.248</v>
      </c>
      <c r="H39" s="6">
        <v>-0.664</v>
      </c>
      <c r="J39" s="316" t="s">
        <v>380</v>
      </c>
      <c r="K39" s="317">
        <f>VLOOKUP(K38,$A$2:$H$99,7,FALSE)</f>
        <v>-0.523</v>
      </c>
      <c r="L39" s="317">
        <f>VLOOKUP(L38,$A$2:$H$99,7,FALSE)</f>
        <v>-0.53</v>
      </c>
      <c r="M39" s="295">
        <f>IF(L39-K39=0,1,L39-K39)</f>
        <v>-0.007000000000000006</v>
      </c>
    </row>
    <row r="40" spans="1:13" ht="12.75">
      <c r="A40" s="272">
        <v>4.74</v>
      </c>
      <c r="B40" s="6">
        <v>0.001</v>
      </c>
      <c r="C40" s="6">
        <v>0.008</v>
      </c>
      <c r="D40" s="6">
        <v>0.051</v>
      </c>
      <c r="E40" s="6">
        <v>0.037</v>
      </c>
      <c r="F40" s="6">
        <v>0.029</v>
      </c>
      <c r="G40" s="6">
        <v>-0.253</v>
      </c>
      <c r="H40" s="6">
        <v>-0.666</v>
      </c>
      <c r="J40" s="301"/>
      <c r="K40" s="303"/>
      <c r="L40" s="303"/>
      <c r="M40" s="295"/>
    </row>
    <row r="41" spans="1:13" ht="12.75">
      <c r="A41" s="272">
        <v>4.76</v>
      </c>
      <c r="B41" s="6">
        <v>0.001</v>
      </c>
      <c r="C41" s="6">
        <v>0.008</v>
      </c>
      <c r="D41" s="6">
        <v>0.05</v>
      </c>
      <c r="E41" s="6">
        <v>0.034</v>
      </c>
      <c r="F41" s="6">
        <v>0.025</v>
      </c>
      <c r="G41" s="6">
        <v>-0.256</v>
      </c>
      <c r="H41" s="6">
        <v>-0.669</v>
      </c>
      <c r="J41" s="308"/>
      <c r="K41" s="321">
        <f>$J$3</f>
        <v>5.615109411764713</v>
      </c>
      <c r="L41" s="303">
        <f>K41-K38</f>
        <v>0.015109411764713698</v>
      </c>
      <c r="M41" s="295">
        <f>M38/M39</f>
        <v>-2.8571428571429207</v>
      </c>
    </row>
    <row r="42" spans="1:13" ht="13.5" thickBot="1">
      <c r="A42" s="272">
        <v>4.78</v>
      </c>
      <c r="B42" s="6">
        <v>0.001</v>
      </c>
      <c r="C42" s="6">
        <v>0.008</v>
      </c>
      <c r="D42" s="6">
        <v>0.049</v>
      </c>
      <c r="E42" s="6">
        <v>0.03</v>
      </c>
      <c r="F42" s="6">
        <v>0.02</v>
      </c>
      <c r="G42" s="6">
        <v>-0.261</v>
      </c>
      <c r="H42" s="6">
        <v>-0.672</v>
      </c>
      <c r="J42" s="311" t="s">
        <v>427</v>
      </c>
      <c r="K42" s="319">
        <f>IF(K39=L39,K39,K39+L41/M41)</f>
        <v>-0.5282882941176497</v>
      </c>
      <c r="L42" s="310"/>
      <c r="M42" s="313"/>
    </row>
    <row r="43" spans="1:13" ht="13.5" thickBot="1">
      <c r="A43" s="272">
        <v>4.8</v>
      </c>
      <c r="B43" s="6">
        <v>0.001</v>
      </c>
      <c r="C43" s="6">
        <v>0.008</v>
      </c>
      <c r="D43" s="6">
        <v>0.048</v>
      </c>
      <c r="E43" s="6">
        <v>0.025</v>
      </c>
      <c r="F43" s="6">
        <v>0.015</v>
      </c>
      <c r="G43" s="6">
        <v>-0.266</v>
      </c>
      <c r="H43" s="6">
        <v>-0.674</v>
      </c>
      <c r="M43" s="20"/>
    </row>
    <row r="44" spans="1:13" ht="12.75">
      <c r="A44" s="272">
        <v>4.82</v>
      </c>
      <c r="B44" s="6">
        <v>0</v>
      </c>
      <c r="C44" s="6">
        <v>0.008</v>
      </c>
      <c r="D44" s="6">
        <v>0.046</v>
      </c>
      <c r="E44" s="6">
        <v>0.022</v>
      </c>
      <c r="F44" s="6">
        <v>0.01</v>
      </c>
      <c r="G44" s="6">
        <v>-0.271</v>
      </c>
      <c r="H44" s="6">
        <v>-0.677</v>
      </c>
      <c r="J44" s="314" t="s">
        <v>278</v>
      </c>
      <c r="K44" s="294">
        <f>$K$6</f>
        <v>5.6</v>
      </c>
      <c r="L44" s="294">
        <f>$L$6</f>
        <v>5.62</v>
      </c>
      <c r="M44" s="295">
        <f>IF(L44-K44=0,1,L44-K44)</f>
        <v>0.020000000000000462</v>
      </c>
    </row>
    <row r="45" spans="1:13" ht="12.75">
      <c r="A45" s="272">
        <v>4.84</v>
      </c>
      <c r="B45" s="6">
        <v>0</v>
      </c>
      <c r="C45" s="6">
        <v>0.007</v>
      </c>
      <c r="D45" s="6">
        <v>0.045</v>
      </c>
      <c r="E45" s="6">
        <v>0.017</v>
      </c>
      <c r="F45" s="6">
        <v>0.004</v>
      </c>
      <c r="G45" s="6">
        <v>-0.275</v>
      </c>
      <c r="H45" s="6">
        <v>-0.68</v>
      </c>
      <c r="J45" s="316" t="s">
        <v>380</v>
      </c>
      <c r="K45" s="317">
        <f>VLOOKUP(K44,$A$2:$H$99,8,FALSE)</f>
        <v>-0.859</v>
      </c>
      <c r="L45" s="317">
        <f>VLOOKUP(L44,$A$2:$H$99,8,FALSE)</f>
        <v>-0.865</v>
      </c>
      <c r="M45" s="295">
        <f>IF(L45-K45=0,1,L45-K45)</f>
        <v>-0.006000000000000005</v>
      </c>
    </row>
    <row r="46" spans="1:13" ht="12.75">
      <c r="A46" s="272">
        <v>4.86</v>
      </c>
      <c r="B46" s="6">
        <v>0.001</v>
      </c>
      <c r="C46" s="6">
        <v>0.007</v>
      </c>
      <c r="D46" s="6">
        <v>0.043</v>
      </c>
      <c r="E46" s="6">
        <v>0.014</v>
      </c>
      <c r="F46" s="6">
        <v>0</v>
      </c>
      <c r="G46" s="6">
        <v>-0.28</v>
      </c>
      <c r="H46" s="6">
        <v>-0.683</v>
      </c>
      <c r="J46" s="301"/>
      <c r="K46" s="303"/>
      <c r="L46" s="303"/>
      <c r="M46" s="295"/>
    </row>
    <row r="47" spans="1:13" ht="12.75">
      <c r="A47" s="272">
        <v>4.88</v>
      </c>
      <c r="B47" s="6">
        <v>0.001</v>
      </c>
      <c r="C47" s="6">
        <v>0.008</v>
      </c>
      <c r="D47" s="6">
        <v>0.04</v>
      </c>
      <c r="E47" s="6">
        <v>0.01</v>
      </c>
      <c r="F47" s="6">
        <v>-0.006</v>
      </c>
      <c r="G47" s="6">
        <v>-0.285</v>
      </c>
      <c r="H47" s="6">
        <v>-0.687</v>
      </c>
      <c r="J47" s="308"/>
      <c r="K47" s="321">
        <f>$J$3</f>
        <v>5.615109411764713</v>
      </c>
      <c r="L47" s="303">
        <f>K47-K44</f>
        <v>0.015109411764713698</v>
      </c>
      <c r="M47" s="295">
        <f>M44/M45</f>
        <v>-3.333333333333407</v>
      </c>
    </row>
    <row r="48" spans="1:13" ht="13.5" thickBot="1">
      <c r="A48" s="272">
        <v>4.9</v>
      </c>
      <c r="B48" s="6">
        <v>0.001</v>
      </c>
      <c r="C48" s="6">
        <v>0.008</v>
      </c>
      <c r="D48" s="6">
        <v>0.039</v>
      </c>
      <c r="E48" s="6">
        <v>0.006</v>
      </c>
      <c r="F48" s="6">
        <v>-0.012</v>
      </c>
      <c r="G48" s="6">
        <v>-0.291</v>
      </c>
      <c r="H48" s="6">
        <v>-0.691</v>
      </c>
      <c r="J48" s="311" t="s">
        <v>428</v>
      </c>
      <c r="K48" s="319">
        <f>IF(K45=L45,K45,K45+L47/M47)</f>
        <v>-0.863532823529414</v>
      </c>
      <c r="L48" s="310"/>
      <c r="M48" s="313"/>
    </row>
    <row r="49" spans="1:8" ht="12.75">
      <c r="A49" s="272">
        <v>4.92</v>
      </c>
      <c r="B49" s="6">
        <v>0.001</v>
      </c>
      <c r="C49" s="6">
        <v>0.007</v>
      </c>
      <c r="D49" s="6">
        <v>0.036</v>
      </c>
      <c r="E49" s="6">
        <v>0.003</v>
      </c>
      <c r="F49" s="6">
        <v>-0.019</v>
      </c>
      <c r="G49" s="6">
        <v>-0.296</v>
      </c>
      <c r="H49" s="6">
        <v>-0.694</v>
      </c>
    </row>
    <row r="50" spans="1:8" ht="12.75">
      <c r="A50" s="272">
        <v>4.94</v>
      </c>
      <c r="B50" s="6">
        <v>0.001</v>
      </c>
      <c r="C50" s="6">
        <v>0.007</v>
      </c>
      <c r="D50" s="6">
        <v>0.034</v>
      </c>
      <c r="E50" s="6">
        <v>-0.001</v>
      </c>
      <c r="F50" s="6">
        <v>-0.025</v>
      </c>
      <c r="G50" s="6">
        <v>-0.301</v>
      </c>
      <c r="H50" s="6">
        <v>-0.697</v>
      </c>
    </row>
    <row r="51" spans="1:8" ht="12.75">
      <c r="A51" s="272">
        <v>4.96</v>
      </c>
      <c r="B51" s="6">
        <v>0.001</v>
      </c>
      <c r="C51" s="6">
        <v>0.008</v>
      </c>
      <c r="D51" s="6">
        <v>0.031</v>
      </c>
      <c r="E51" s="6">
        <v>-0.005</v>
      </c>
      <c r="F51" s="6">
        <v>-0.031</v>
      </c>
      <c r="G51" s="6">
        <v>-0.306</v>
      </c>
      <c r="H51" s="6">
        <v>-0.701</v>
      </c>
    </row>
    <row r="52" spans="1:8" ht="12.75">
      <c r="A52" s="272">
        <v>4.98</v>
      </c>
      <c r="B52" s="6">
        <v>0.001</v>
      </c>
      <c r="C52" s="6">
        <v>0.008</v>
      </c>
      <c r="D52" s="6">
        <v>0.029</v>
      </c>
      <c r="E52" s="6">
        <v>-0.008</v>
      </c>
      <c r="F52" s="6">
        <v>-0.037</v>
      </c>
      <c r="G52" s="6">
        <v>-0.311</v>
      </c>
      <c r="H52" s="6">
        <v>-0.704</v>
      </c>
    </row>
    <row r="53" spans="1:8" ht="12.75">
      <c r="A53" s="272">
        <v>5</v>
      </c>
      <c r="B53" s="6">
        <v>0.002</v>
      </c>
      <c r="C53" s="6">
        <v>0.008</v>
      </c>
      <c r="D53" s="6">
        <v>0.027</v>
      </c>
      <c r="E53" s="6">
        <v>-0.011</v>
      </c>
      <c r="F53" s="6">
        <v>-0.043</v>
      </c>
      <c r="G53" s="6">
        <v>-0.316</v>
      </c>
      <c r="H53" s="6">
        <v>-0.707</v>
      </c>
    </row>
    <row r="54" spans="1:8" ht="12.75">
      <c r="A54" s="272">
        <v>5.02</v>
      </c>
      <c r="B54" s="6">
        <v>0.001</v>
      </c>
      <c r="C54" s="6">
        <v>0.008</v>
      </c>
      <c r="D54" s="6">
        <v>0.025</v>
      </c>
      <c r="E54" s="6">
        <v>-0.015</v>
      </c>
      <c r="F54" s="6">
        <v>-0.049</v>
      </c>
      <c r="G54" s="6">
        <v>-0.322</v>
      </c>
      <c r="H54" s="6">
        <v>-0.711</v>
      </c>
    </row>
    <row r="55" spans="1:8" ht="12.75">
      <c r="A55" s="272">
        <v>5.04</v>
      </c>
      <c r="B55" s="6">
        <v>0.001</v>
      </c>
      <c r="C55" s="6">
        <v>0.008</v>
      </c>
      <c r="D55" s="6">
        <v>0.022</v>
      </c>
      <c r="E55" s="6">
        <v>-0.019</v>
      </c>
      <c r="F55" s="6">
        <v>-0.056</v>
      </c>
      <c r="G55" s="6">
        <v>-0.328</v>
      </c>
      <c r="H55" s="6">
        <v>-0.715</v>
      </c>
    </row>
    <row r="56" spans="1:8" ht="12.75">
      <c r="A56" s="272">
        <v>5.06</v>
      </c>
      <c r="B56" s="6">
        <v>0.001</v>
      </c>
      <c r="C56" s="6">
        <v>0.008</v>
      </c>
      <c r="D56" s="6">
        <v>0.02</v>
      </c>
      <c r="E56" s="6">
        <v>-0.023</v>
      </c>
      <c r="F56" s="6">
        <v>-0.061</v>
      </c>
      <c r="G56" s="6">
        <v>-0.333</v>
      </c>
      <c r="H56" s="6">
        <v>-0.719</v>
      </c>
    </row>
    <row r="57" spans="1:8" ht="12.75">
      <c r="A57" s="272">
        <v>5.08</v>
      </c>
      <c r="B57" s="6">
        <v>0.001</v>
      </c>
      <c r="C57" s="6">
        <v>0.007</v>
      </c>
      <c r="D57" s="6">
        <v>0.018</v>
      </c>
      <c r="E57" s="6">
        <v>-0.026</v>
      </c>
      <c r="F57" s="6">
        <v>-0.068</v>
      </c>
      <c r="G57" s="6">
        <v>-0.34</v>
      </c>
      <c r="H57" s="6">
        <v>-0.723</v>
      </c>
    </row>
    <row r="58" spans="1:8" ht="12.75">
      <c r="A58" s="272">
        <v>5.1</v>
      </c>
      <c r="B58" s="6">
        <v>0.001</v>
      </c>
      <c r="C58" s="6">
        <v>0.008</v>
      </c>
      <c r="D58" s="6">
        <v>0.015</v>
      </c>
      <c r="E58" s="6">
        <v>-0.03</v>
      </c>
      <c r="F58" s="6">
        <v>-0.074</v>
      </c>
      <c r="G58" s="6">
        <v>-0.346</v>
      </c>
      <c r="H58" s="6">
        <v>-0.728</v>
      </c>
    </row>
    <row r="59" spans="1:8" ht="12.75">
      <c r="A59" s="272">
        <v>5.12</v>
      </c>
      <c r="B59" s="6">
        <v>0</v>
      </c>
      <c r="C59" s="6">
        <v>0.007</v>
      </c>
      <c r="D59" s="6">
        <v>0.013</v>
      </c>
      <c r="E59" s="6">
        <v>-0.034</v>
      </c>
      <c r="F59" s="6">
        <v>-0.081</v>
      </c>
      <c r="G59" s="6">
        <v>-0.352</v>
      </c>
      <c r="H59" s="6">
        <v>-0.733</v>
      </c>
    </row>
    <row r="60" spans="1:8" ht="12.75">
      <c r="A60" s="272">
        <v>5.14</v>
      </c>
      <c r="B60" s="6">
        <v>0.001</v>
      </c>
      <c r="C60" s="6">
        <v>0.007</v>
      </c>
      <c r="D60" s="6">
        <v>0.01</v>
      </c>
      <c r="E60" s="6">
        <v>-0.039</v>
      </c>
      <c r="F60" s="6">
        <v>-0.088</v>
      </c>
      <c r="G60" s="6">
        <v>-0.358</v>
      </c>
      <c r="H60" s="6">
        <v>-0.737</v>
      </c>
    </row>
    <row r="61" spans="1:8" ht="12.75">
      <c r="A61" s="272">
        <v>5.16</v>
      </c>
      <c r="B61" s="6">
        <v>0.001</v>
      </c>
      <c r="C61" s="6">
        <v>0.007</v>
      </c>
      <c r="D61" s="6">
        <v>0.007</v>
      </c>
      <c r="E61" s="6">
        <v>-0.042</v>
      </c>
      <c r="F61" s="6">
        <v>-0.095</v>
      </c>
      <c r="G61" s="6">
        <v>-0.365</v>
      </c>
      <c r="H61" s="6">
        <v>-0.741</v>
      </c>
    </row>
    <row r="62" spans="1:8" ht="12.75">
      <c r="A62" s="272">
        <v>5.18</v>
      </c>
      <c r="B62" s="6">
        <v>0.001</v>
      </c>
      <c r="C62" s="6">
        <v>0.007</v>
      </c>
      <c r="D62" s="6">
        <v>0.005</v>
      </c>
      <c r="E62" s="6">
        <v>-0.046</v>
      </c>
      <c r="F62" s="6">
        <v>-0.102</v>
      </c>
      <c r="G62" s="6">
        <v>-0.372</v>
      </c>
      <c r="H62" s="6">
        <v>-0.746</v>
      </c>
    </row>
    <row r="63" spans="1:8" ht="12.75">
      <c r="A63" s="272">
        <v>5.2</v>
      </c>
      <c r="B63" s="6">
        <v>0.001</v>
      </c>
      <c r="C63" s="6">
        <v>0.007</v>
      </c>
      <c r="D63" s="6">
        <v>0.002</v>
      </c>
      <c r="E63" s="6">
        <v>-0.049</v>
      </c>
      <c r="F63" s="6">
        <v>-0.11</v>
      </c>
      <c r="G63" s="6">
        <v>-0.378</v>
      </c>
      <c r="H63" s="6">
        <v>-0.751</v>
      </c>
    </row>
    <row r="64" spans="1:8" ht="12.75">
      <c r="A64" s="272">
        <v>5.22</v>
      </c>
      <c r="B64" s="6">
        <v>0.001</v>
      </c>
      <c r="C64" s="6">
        <v>0.007</v>
      </c>
      <c r="D64" s="6">
        <v>-0.001</v>
      </c>
      <c r="E64" s="6">
        <v>-0.054</v>
      </c>
      <c r="F64" s="6">
        <v>-0.117</v>
      </c>
      <c r="G64" s="6">
        <v>-0.384</v>
      </c>
      <c r="H64" s="6">
        <v>-0.755</v>
      </c>
    </row>
    <row r="65" spans="1:8" ht="12.75">
      <c r="A65" s="272">
        <v>5.24</v>
      </c>
      <c r="B65" s="6">
        <v>0.001</v>
      </c>
      <c r="C65" s="6">
        <v>0.007</v>
      </c>
      <c r="D65" s="6">
        <v>-0.004</v>
      </c>
      <c r="E65" s="6">
        <v>-0.057</v>
      </c>
      <c r="F65" s="6">
        <v>-0.124</v>
      </c>
      <c r="G65" s="6">
        <v>-0.39</v>
      </c>
      <c r="H65" s="6">
        <v>-0.76</v>
      </c>
    </row>
    <row r="66" spans="1:8" ht="12.75">
      <c r="A66" s="272">
        <v>5.26</v>
      </c>
      <c r="B66" s="6">
        <v>0.001</v>
      </c>
      <c r="C66" s="6">
        <v>0.007</v>
      </c>
      <c r="D66" s="6">
        <v>-0.007</v>
      </c>
      <c r="E66" s="6">
        <v>-0.061</v>
      </c>
      <c r="F66" s="6">
        <v>-0.131</v>
      </c>
      <c r="G66" s="6">
        <v>-0.396</v>
      </c>
      <c r="H66" s="6">
        <v>-0.764</v>
      </c>
    </row>
    <row r="67" spans="1:8" ht="12.75">
      <c r="A67" s="272">
        <v>5.28</v>
      </c>
      <c r="B67" s="6">
        <v>0.001</v>
      </c>
      <c r="C67" s="6">
        <v>0.007</v>
      </c>
      <c r="D67" s="6">
        <v>-0.01</v>
      </c>
      <c r="E67" s="6">
        <v>-0.064</v>
      </c>
      <c r="F67" s="6">
        <v>-0.138</v>
      </c>
      <c r="G67" s="6">
        <v>-0.403</v>
      </c>
      <c r="H67" s="6">
        <v>-0.769</v>
      </c>
    </row>
    <row r="68" spans="1:8" ht="12.75">
      <c r="A68" s="272">
        <v>5.3</v>
      </c>
      <c r="B68" s="6">
        <v>0.001</v>
      </c>
      <c r="C68" s="6">
        <v>0.007</v>
      </c>
      <c r="D68" s="6">
        <v>0.013</v>
      </c>
      <c r="E68" s="6">
        <v>-0.069</v>
      </c>
      <c r="F68" s="6">
        <v>-0.146</v>
      </c>
      <c r="G68" s="6">
        <v>-0.41</v>
      </c>
      <c r="H68" s="6">
        <v>-0.774</v>
      </c>
    </row>
    <row r="69" spans="1:8" ht="12.75">
      <c r="A69" s="272">
        <v>5.32</v>
      </c>
      <c r="B69" s="6">
        <v>0.001</v>
      </c>
      <c r="C69" s="6">
        <v>0.007</v>
      </c>
      <c r="D69" s="6">
        <v>-0.016</v>
      </c>
      <c r="E69" s="6">
        <v>-0.073</v>
      </c>
      <c r="F69" s="6">
        <v>-0.154</v>
      </c>
      <c r="G69" s="6">
        <v>-0.417</v>
      </c>
      <c r="H69" s="6">
        <v>-0.78</v>
      </c>
    </row>
    <row r="70" spans="1:8" ht="12.75">
      <c r="A70" s="272">
        <v>5.34</v>
      </c>
      <c r="B70" s="6">
        <v>0.001</v>
      </c>
      <c r="C70" s="6">
        <v>0.007</v>
      </c>
      <c r="D70" s="6">
        <v>-0.019</v>
      </c>
      <c r="E70" s="6">
        <v>-0.077</v>
      </c>
      <c r="F70" s="6">
        <v>-0.161</v>
      </c>
      <c r="G70" s="6">
        <v>-0.425</v>
      </c>
      <c r="H70" s="6">
        <v>-0.785</v>
      </c>
    </row>
    <row r="71" spans="1:8" ht="12.75">
      <c r="A71" s="272">
        <v>5.36</v>
      </c>
      <c r="B71" s="6">
        <v>0.001</v>
      </c>
      <c r="C71" s="6">
        <v>0.007</v>
      </c>
      <c r="D71" s="6">
        <v>-0.022</v>
      </c>
      <c r="E71" s="6">
        <v>-0.081</v>
      </c>
      <c r="F71" s="6">
        <v>-0.168</v>
      </c>
      <c r="G71" s="6">
        <v>-0.432</v>
      </c>
      <c r="H71" s="6">
        <v>-0.79</v>
      </c>
    </row>
    <row r="72" spans="1:8" ht="12.75">
      <c r="A72" s="272">
        <v>5.38</v>
      </c>
      <c r="B72" s="6">
        <v>0.001</v>
      </c>
      <c r="C72" s="6">
        <v>0.007</v>
      </c>
      <c r="D72" s="6">
        <v>-0.025</v>
      </c>
      <c r="E72" s="6">
        <v>-0.085</v>
      </c>
      <c r="F72" s="6">
        <v>-0.175</v>
      </c>
      <c r="G72" s="6">
        <v>-0.438</v>
      </c>
      <c r="H72" s="6">
        <v>-0.795</v>
      </c>
    </row>
    <row r="73" spans="1:8" ht="12.75">
      <c r="A73" s="272">
        <v>5.4</v>
      </c>
      <c r="B73" s="6">
        <v>0.001</v>
      </c>
      <c r="C73" s="6">
        <v>0.007</v>
      </c>
      <c r="D73" s="6">
        <v>-0.028</v>
      </c>
      <c r="E73" s="6">
        <v>-0.089</v>
      </c>
      <c r="F73" s="6">
        <v>-0.183</v>
      </c>
      <c r="G73" s="6">
        <v>-0.446</v>
      </c>
      <c r="H73" s="6">
        <v>-0.801</v>
      </c>
    </row>
    <row r="74" spans="1:8" ht="12.75">
      <c r="A74" s="272">
        <v>5.42</v>
      </c>
      <c r="B74" s="6">
        <v>0.001</v>
      </c>
      <c r="C74" s="6">
        <v>0.007</v>
      </c>
      <c r="D74" s="6">
        <v>-0.031</v>
      </c>
      <c r="E74" s="6">
        <v>-0.93</v>
      </c>
      <c r="F74" s="6">
        <v>-0.191</v>
      </c>
      <c r="G74" s="6">
        <v>-0.453</v>
      </c>
      <c r="H74" s="6">
        <v>-0.806</v>
      </c>
    </row>
    <row r="75" spans="1:8" ht="12.75">
      <c r="A75" s="272">
        <v>5.44</v>
      </c>
      <c r="B75" s="6">
        <v>0</v>
      </c>
      <c r="C75" s="6">
        <v>0.006</v>
      </c>
      <c r="D75" s="6">
        <v>-0.035</v>
      </c>
      <c r="E75" s="6">
        <v>-0.097</v>
      </c>
      <c r="F75" s="6">
        <v>-0.199</v>
      </c>
      <c r="G75" s="6">
        <v>-0.46</v>
      </c>
      <c r="H75" s="6">
        <v>-0.812</v>
      </c>
    </row>
    <row r="76" spans="1:8" ht="12.75">
      <c r="A76" s="272">
        <v>5.46</v>
      </c>
      <c r="B76" s="6">
        <v>0.001</v>
      </c>
      <c r="C76" s="6">
        <v>0.007</v>
      </c>
      <c r="D76" s="6">
        <v>-0.038</v>
      </c>
      <c r="E76" s="6">
        <v>-0.102</v>
      </c>
      <c r="F76" s="6">
        <v>-0.208</v>
      </c>
      <c r="G76" s="6">
        <v>-0.468</v>
      </c>
      <c r="H76" s="6">
        <v>-0.817</v>
      </c>
    </row>
    <row r="77" spans="1:8" ht="12.75">
      <c r="A77" s="272">
        <v>5.48</v>
      </c>
      <c r="B77" s="6">
        <v>0.001</v>
      </c>
      <c r="C77" s="6">
        <v>0.006</v>
      </c>
      <c r="D77" s="6">
        <v>-0.04</v>
      </c>
      <c r="E77" s="6">
        <v>-0.106</v>
      </c>
      <c r="F77" s="6">
        <v>-0.215</v>
      </c>
      <c r="G77" s="6">
        <v>-0.475</v>
      </c>
      <c r="H77" s="6">
        <v>-0.823</v>
      </c>
    </row>
    <row r="78" spans="1:8" ht="12.75">
      <c r="A78" s="272">
        <v>5.5</v>
      </c>
      <c r="B78" s="6">
        <v>0.001</v>
      </c>
      <c r="C78" s="6">
        <v>0.007</v>
      </c>
      <c r="D78" s="6">
        <v>-0.043</v>
      </c>
      <c r="E78" s="6">
        <v>-0.11</v>
      </c>
      <c r="F78" s="6">
        <v>-0.223</v>
      </c>
      <c r="G78" s="6">
        <v>-0.482</v>
      </c>
      <c r="H78" s="6">
        <v>-0.829</v>
      </c>
    </row>
    <row r="79" spans="1:8" ht="12.75">
      <c r="A79" s="272">
        <v>5.52</v>
      </c>
      <c r="B79" s="6">
        <v>0.001</v>
      </c>
      <c r="C79" s="6">
        <v>0.006</v>
      </c>
      <c r="D79" s="6">
        <v>-0.046</v>
      </c>
      <c r="E79" s="6">
        <v>-0.114</v>
      </c>
      <c r="F79" s="6">
        <v>-0.232</v>
      </c>
      <c r="G79" s="6">
        <v>-0.49</v>
      </c>
      <c r="H79" s="6">
        <v>-0.834</v>
      </c>
    </row>
    <row r="80" spans="1:8" ht="12.75">
      <c r="A80" s="272">
        <v>5.54</v>
      </c>
      <c r="B80" s="6">
        <v>0.001</v>
      </c>
      <c r="C80" s="6">
        <v>0.006</v>
      </c>
      <c r="D80" s="6">
        <v>-0.049</v>
      </c>
      <c r="E80" s="6">
        <v>-0.119</v>
      </c>
      <c r="F80" s="6">
        <v>-0.239</v>
      </c>
      <c r="G80" s="6">
        <v>-0.498</v>
      </c>
      <c r="H80" s="6">
        <v>-0.839</v>
      </c>
    </row>
    <row r="81" spans="1:8" ht="12.75">
      <c r="A81" s="272">
        <v>5.56</v>
      </c>
      <c r="B81" s="6">
        <v>0.001</v>
      </c>
      <c r="C81" s="6">
        <v>0.006</v>
      </c>
      <c r="D81" s="6">
        <v>-0.053</v>
      </c>
      <c r="E81" s="6">
        <v>-0.123</v>
      </c>
      <c r="F81" s="6">
        <v>-0.248</v>
      </c>
      <c r="G81" s="6">
        <v>-0.505</v>
      </c>
      <c r="H81" s="6">
        <v>-0.846</v>
      </c>
    </row>
    <row r="82" spans="1:8" ht="12.75">
      <c r="A82" s="272">
        <v>5.58</v>
      </c>
      <c r="B82" s="6">
        <v>0.001</v>
      </c>
      <c r="C82" s="6">
        <v>0.005</v>
      </c>
      <c r="D82" s="6">
        <v>-0.055</v>
      </c>
      <c r="E82" s="6">
        <v>-0.128</v>
      </c>
      <c r="F82" s="6">
        <v>-0.256</v>
      </c>
      <c r="G82" s="6">
        <v>-0.514</v>
      </c>
      <c r="H82" s="6">
        <v>-0.852</v>
      </c>
    </row>
    <row r="83" spans="1:8" ht="12.75">
      <c r="A83" s="272">
        <v>5.6</v>
      </c>
      <c r="B83" s="6">
        <v>0.001</v>
      </c>
      <c r="C83" s="6">
        <v>0.005</v>
      </c>
      <c r="D83" s="6">
        <v>-0.059</v>
      </c>
      <c r="E83" s="6">
        <v>-0.132</v>
      </c>
      <c r="F83" s="6">
        <v>-0.265</v>
      </c>
      <c r="G83" s="6">
        <v>-0.523</v>
      </c>
      <c r="H83" s="6">
        <v>-0.859</v>
      </c>
    </row>
    <row r="84" spans="1:8" ht="12.75">
      <c r="A84" s="272">
        <v>5.62</v>
      </c>
      <c r="B84" s="6">
        <v>0</v>
      </c>
      <c r="C84" s="6">
        <v>0.005</v>
      </c>
      <c r="D84" s="6">
        <v>-0.062</v>
      </c>
      <c r="E84" s="6">
        <v>-0.137</v>
      </c>
      <c r="F84" s="6">
        <v>-0.273</v>
      </c>
      <c r="G84" s="6">
        <v>-0.53</v>
      </c>
      <c r="H84" s="6">
        <v>-0.865</v>
      </c>
    </row>
    <row r="85" spans="1:8" ht="12.75">
      <c r="A85" s="272">
        <v>5.64</v>
      </c>
      <c r="B85" s="6">
        <v>0.001</v>
      </c>
      <c r="C85" s="6">
        <v>0.004</v>
      </c>
      <c r="D85" s="6">
        <v>-0.065</v>
      </c>
      <c r="E85" s="6">
        <v>-0.141</v>
      </c>
      <c r="F85" s="6">
        <v>-0.281</v>
      </c>
      <c r="G85" s="6">
        <v>-0.539</v>
      </c>
      <c r="H85" s="6">
        <v>-0.871</v>
      </c>
    </row>
    <row r="86" spans="1:8" ht="12.75">
      <c r="A86" s="272">
        <v>5.66</v>
      </c>
      <c r="B86" s="6">
        <v>0.001</v>
      </c>
      <c r="C86" s="6">
        <v>0.004</v>
      </c>
      <c r="D86" s="6">
        <v>-0.068</v>
      </c>
      <c r="E86" s="6">
        <v>-0.145</v>
      </c>
      <c r="F86" s="6">
        <v>-0.29</v>
      </c>
      <c r="G86" s="6">
        <v>-0.546</v>
      </c>
      <c r="H86" s="6">
        <v>-0.877</v>
      </c>
    </row>
    <row r="87" spans="1:8" ht="12.75">
      <c r="A87" s="272">
        <v>5.68</v>
      </c>
      <c r="B87" s="6">
        <v>0</v>
      </c>
      <c r="C87" s="6">
        <v>0.003</v>
      </c>
      <c r="D87" s="6">
        <v>-0.071</v>
      </c>
      <c r="E87" s="6">
        <v>-0.15</v>
      </c>
      <c r="F87" s="6">
        <v>-0.299</v>
      </c>
      <c r="G87" s="6">
        <v>-0.554</v>
      </c>
      <c r="H87" s="6">
        <v>-0.884</v>
      </c>
    </row>
    <row r="88" spans="1:8" ht="12.75">
      <c r="A88" s="272">
        <v>5.7</v>
      </c>
      <c r="B88" s="6">
        <v>0.001</v>
      </c>
      <c r="C88" s="6">
        <v>0.003</v>
      </c>
      <c r="D88" s="6">
        <v>-0.075</v>
      </c>
      <c r="E88" s="6">
        <v>-0.154</v>
      </c>
      <c r="F88" s="6">
        <v>-0.307</v>
      </c>
      <c r="G88" s="6">
        <v>-0.562</v>
      </c>
      <c r="H88" s="6">
        <v>-0.89</v>
      </c>
    </row>
    <row r="89" spans="1:8" ht="12.75">
      <c r="A89" s="272">
        <v>5.72</v>
      </c>
      <c r="B89" s="6">
        <v>0.001</v>
      </c>
      <c r="C89" s="6">
        <v>0.002</v>
      </c>
      <c r="D89" s="6">
        <v>-0.077</v>
      </c>
      <c r="E89" s="6">
        <v>-0.159</v>
      </c>
      <c r="F89" s="6">
        <v>-0.316</v>
      </c>
      <c r="G89" s="6">
        <v>-0.57</v>
      </c>
      <c r="H89" s="6">
        <v>-0.896</v>
      </c>
    </row>
    <row r="90" spans="1:8" ht="12.75">
      <c r="A90" s="272">
        <v>5.74</v>
      </c>
      <c r="B90" s="6">
        <v>0</v>
      </c>
      <c r="C90" s="6">
        <v>0.002</v>
      </c>
      <c r="D90" s="6">
        <v>-0.081</v>
      </c>
      <c r="E90" s="6">
        <v>-0.164</v>
      </c>
      <c r="F90" s="6">
        <v>-0.325</v>
      </c>
      <c r="G90" s="6">
        <v>-0.579</v>
      </c>
      <c r="H90" s="6">
        <v>-0.903</v>
      </c>
    </row>
    <row r="91" spans="1:8" ht="12.75">
      <c r="A91" s="272">
        <v>5.76</v>
      </c>
      <c r="B91" s="6">
        <v>0.001</v>
      </c>
      <c r="C91" s="6">
        <v>0.001</v>
      </c>
      <c r="D91" s="6">
        <v>-0.083</v>
      </c>
      <c r="E91" s="6">
        <v>-0.169</v>
      </c>
      <c r="F91" s="6">
        <v>-0.334</v>
      </c>
      <c r="G91" s="6">
        <v>-0.588</v>
      </c>
      <c r="H91" s="6">
        <v>-0.91</v>
      </c>
    </row>
    <row r="92" spans="1:8" ht="12.75">
      <c r="A92" s="272">
        <v>5.78</v>
      </c>
      <c r="B92" s="6"/>
      <c r="C92" s="6"/>
      <c r="D92" s="6"/>
      <c r="E92" s="6"/>
      <c r="F92" s="6"/>
      <c r="G92" s="6"/>
      <c r="H92" s="6"/>
    </row>
    <row r="93" spans="1:8" ht="12.75">
      <c r="A93" s="272">
        <v>5.8</v>
      </c>
      <c r="B93" s="6"/>
      <c r="C93" s="6"/>
      <c r="D93" s="6"/>
      <c r="E93" s="6"/>
      <c r="F93" s="6"/>
      <c r="G93" s="6"/>
      <c r="H93" s="6"/>
    </row>
    <row r="94" spans="1:8" ht="12.75">
      <c r="A94" s="272">
        <v>5.82</v>
      </c>
      <c r="B94" s="6"/>
      <c r="C94" s="6"/>
      <c r="D94" s="6"/>
      <c r="E94" s="6"/>
      <c r="F94" s="6"/>
      <c r="G94" s="6"/>
      <c r="H94" s="6"/>
    </row>
    <row r="95" spans="1:8" ht="12.75">
      <c r="A95" s="272">
        <v>5.84</v>
      </c>
      <c r="B95" s="6"/>
      <c r="C95" s="6"/>
      <c r="D95" s="6"/>
      <c r="E95" s="6"/>
      <c r="F95" s="6"/>
      <c r="G95" s="6"/>
      <c r="H95" s="6"/>
    </row>
    <row r="96" spans="1:8" ht="12.75">
      <c r="A96" s="272">
        <v>5.86</v>
      </c>
      <c r="B96" s="6"/>
      <c r="C96" s="6"/>
      <c r="D96" s="6"/>
      <c r="E96" s="6"/>
      <c r="F96" s="6"/>
      <c r="G96" s="6"/>
      <c r="H96" s="6"/>
    </row>
    <row r="97" ht="12.75">
      <c r="A97" s="160"/>
    </row>
    <row r="98" ht="12.75">
      <c r="A98" s="160"/>
    </row>
    <row r="99" ht="12.75">
      <c r="A99" s="160"/>
    </row>
    <row r="100" ht="12.75">
      <c r="A100" s="160"/>
    </row>
    <row r="101" ht="12.75">
      <c r="A101" s="160"/>
    </row>
    <row r="102" ht="12.75">
      <c r="A102" s="160"/>
    </row>
    <row r="103" ht="12.75">
      <c r="A103" s="160"/>
    </row>
    <row r="104" ht="12.75">
      <c r="A104" s="160"/>
    </row>
    <row r="105" ht="12.75">
      <c r="A105" s="160"/>
    </row>
    <row r="106" ht="12.75">
      <c r="A106" s="160"/>
    </row>
    <row r="107" ht="12.75">
      <c r="A107" s="160"/>
    </row>
    <row r="108" ht="12.75">
      <c r="A108" s="160"/>
    </row>
    <row r="109" ht="12.75">
      <c r="A109" s="160"/>
    </row>
    <row r="110" ht="12.75">
      <c r="A110" s="160"/>
    </row>
    <row r="111" ht="12.75">
      <c r="A111" s="160"/>
    </row>
    <row r="112" ht="12.75">
      <c r="A112" s="160"/>
    </row>
    <row r="113" ht="12.75">
      <c r="A113" s="160"/>
    </row>
    <row r="114" ht="12.75">
      <c r="A114" s="160"/>
    </row>
    <row r="115" ht="12.75">
      <c r="A115" s="160"/>
    </row>
    <row r="116" ht="12.75">
      <c r="A116" s="160"/>
    </row>
    <row r="117" ht="12.75">
      <c r="A117" s="160"/>
    </row>
    <row r="118" ht="12.75">
      <c r="A118" s="160"/>
    </row>
    <row r="119" ht="12.75">
      <c r="A119" s="160"/>
    </row>
    <row r="120" ht="12.75">
      <c r="A120" s="160"/>
    </row>
    <row r="121" ht="12.75">
      <c r="A121" s="160"/>
    </row>
    <row r="122" ht="12.75">
      <c r="A122" s="160"/>
    </row>
    <row r="123" ht="12.75">
      <c r="A123" s="160"/>
    </row>
    <row r="124" ht="12.75">
      <c r="A124" s="160"/>
    </row>
    <row r="125" ht="12.75">
      <c r="A125" s="160"/>
    </row>
    <row r="126" ht="12.75">
      <c r="A126" s="160"/>
    </row>
    <row r="127" ht="12.75">
      <c r="A127" s="160"/>
    </row>
    <row r="128" ht="12.75">
      <c r="A128" s="160"/>
    </row>
    <row r="129" ht="12.75">
      <c r="A129" s="160"/>
    </row>
    <row r="130" ht="12.75">
      <c r="A130" s="160"/>
    </row>
    <row r="131" ht="12.75">
      <c r="A131" s="160"/>
    </row>
    <row r="132" ht="12.75">
      <c r="A132" s="160"/>
    </row>
    <row r="133" ht="12.75">
      <c r="A133" s="160"/>
    </row>
    <row r="134" ht="12.75">
      <c r="A134" s="160"/>
    </row>
    <row r="135" ht="12.75">
      <c r="A135" s="160"/>
    </row>
    <row r="136" ht="12.75">
      <c r="A136" s="160"/>
    </row>
    <row r="137" ht="12.75">
      <c r="A137" s="160"/>
    </row>
    <row r="138" ht="12.75">
      <c r="A138" s="160"/>
    </row>
    <row r="139" ht="12.75">
      <c r="A139" s="160"/>
    </row>
    <row r="140" ht="12.75">
      <c r="A140" s="160"/>
    </row>
    <row r="141" ht="12.75">
      <c r="A141" s="160"/>
    </row>
    <row r="142" ht="12.75">
      <c r="A142" s="160"/>
    </row>
    <row r="143" ht="12.75">
      <c r="A143" s="160"/>
    </row>
    <row r="144" ht="12.75">
      <c r="A144" s="160"/>
    </row>
    <row r="145" ht="12.75">
      <c r="A145" s="160"/>
    </row>
    <row r="146" ht="12.75">
      <c r="A146" s="160"/>
    </row>
    <row r="147" ht="12.75">
      <c r="A147" s="160"/>
    </row>
    <row r="148" ht="12.75">
      <c r="A148" s="160"/>
    </row>
    <row r="149" ht="12.75">
      <c r="A149" s="160"/>
    </row>
    <row r="150" ht="12.75">
      <c r="A150" s="160"/>
    </row>
    <row r="151" ht="12.75">
      <c r="A151" s="160"/>
    </row>
    <row r="152" ht="12.75">
      <c r="A152" s="160"/>
    </row>
    <row r="153" ht="12.75">
      <c r="A153" s="160"/>
    </row>
    <row r="154" ht="12.75">
      <c r="A154" s="160"/>
    </row>
    <row r="155" ht="12.75">
      <c r="A155" s="160"/>
    </row>
    <row r="156" ht="12.75">
      <c r="A156" s="160"/>
    </row>
    <row r="157" ht="12.75">
      <c r="A157" s="160"/>
    </row>
    <row r="158" ht="12.75">
      <c r="A158" s="160"/>
    </row>
    <row r="159" ht="12.75">
      <c r="A159" s="160"/>
    </row>
    <row r="160" ht="12.75">
      <c r="A160" s="160"/>
    </row>
    <row r="161" ht="12.75">
      <c r="A161" s="160"/>
    </row>
    <row r="162" ht="12.75">
      <c r="A162" s="160"/>
    </row>
    <row r="163" ht="12.75">
      <c r="A163" s="160"/>
    </row>
    <row r="164" ht="12.75">
      <c r="A164" s="160"/>
    </row>
    <row r="165" ht="12.75">
      <c r="A165" s="160"/>
    </row>
    <row r="166" ht="12.75">
      <c r="A166" s="160"/>
    </row>
    <row r="167" ht="12.75">
      <c r="A167" s="160"/>
    </row>
    <row r="168" ht="12.75">
      <c r="A168" s="160"/>
    </row>
    <row r="169" ht="12.75">
      <c r="A169" s="160"/>
    </row>
    <row r="170" ht="12.75">
      <c r="A170" s="160"/>
    </row>
    <row r="171" ht="12.75">
      <c r="A171" s="160"/>
    </row>
    <row r="172" ht="12.75">
      <c r="A172" s="160"/>
    </row>
    <row r="173" ht="12.75">
      <c r="A173" s="160"/>
    </row>
    <row r="174" ht="12.75">
      <c r="A174" s="160"/>
    </row>
    <row r="175" ht="12.75">
      <c r="A175" s="160"/>
    </row>
    <row r="176" ht="12.75">
      <c r="A176" s="160"/>
    </row>
    <row r="177" ht="12.75">
      <c r="A177" s="160"/>
    </row>
    <row r="178" ht="12.75">
      <c r="A178" s="160"/>
    </row>
    <row r="179" ht="12.75">
      <c r="A179" s="160"/>
    </row>
    <row r="180" ht="12.75">
      <c r="A180" s="160"/>
    </row>
    <row r="181" ht="12.75">
      <c r="A181" s="160"/>
    </row>
    <row r="182" ht="12.75">
      <c r="A182" s="160"/>
    </row>
    <row r="183" ht="12.75">
      <c r="A183" s="160"/>
    </row>
    <row r="184" ht="12.75">
      <c r="A184" s="160"/>
    </row>
    <row r="185" ht="12.75">
      <c r="A185" s="160"/>
    </row>
    <row r="186" ht="12.75">
      <c r="A186" s="160"/>
    </row>
    <row r="187" ht="12.75">
      <c r="A187" s="160"/>
    </row>
    <row r="188" ht="12.75">
      <c r="A188" s="160"/>
    </row>
    <row r="189" ht="12.75">
      <c r="A189" s="160"/>
    </row>
    <row r="190" ht="12.75">
      <c r="A190" s="160"/>
    </row>
    <row r="191" ht="12.75">
      <c r="A191" s="160"/>
    </row>
    <row r="192" ht="12.75">
      <c r="A192" s="160"/>
    </row>
    <row r="193" ht="12.75">
      <c r="A193" s="160"/>
    </row>
    <row r="194" ht="12.75">
      <c r="A194" s="160"/>
    </row>
    <row r="195" ht="12.75">
      <c r="A195" s="160"/>
    </row>
    <row r="196" ht="12.75">
      <c r="A196" s="160"/>
    </row>
    <row r="197" ht="12.75">
      <c r="A197" s="160"/>
    </row>
    <row r="198" ht="12.75">
      <c r="A198" s="160"/>
    </row>
    <row r="199" ht="12.75">
      <c r="A199" s="160"/>
    </row>
    <row r="200" ht="12.75">
      <c r="A200" s="160"/>
    </row>
    <row r="201" ht="12.75">
      <c r="A201" s="160"/>
    </row>
    <row r="202" ht="12.75">
      <c r="A202" s="160"/>
    </row>
    <row r="203" ht="12.75">
      <c r="A203" s="160"/>
    </row>
    <row r="204" ht="12.75">
      <c r="A204" s="160"/>
    </row>
    <row r="205" ht="12.75">
      <c r="A205" s="160"/>
    </row>
    <row r="206" ht="12.75">
      <c r="A206" s="160"/>
    </row>
    <row r="207" ht="12.75">
      <c r="A207" s="160"/>
    </row>
    <row r="208" ht="12.75">
      <c r="A208" s="160"/>
    </row>
    <row r="209" ht="12.75">
      <c r="A209" s="160"/>
    </row>
    <row r="210" ht="12.75">
      <c r="A210" s="160"/>
    </row>
    <row r="211" ht="12.75">
      <c r="A211" s="160"/>
    </row>
    <row r="212" ht="12.75">
      <c r="A212" s="160"/>
    </row>
    <row r="213" ht="12.75">
      <c r="A213" s="160"/>
    </row>
    <row r="214" ht="12.75">
      <c r="A214" s="160"/>
    </row>
    <row r="215" ht="12.75">
      <c r="A215" s="160"/>
    </row>
    <row r="216" ht="12.75">
      <c r="A216" s="160"/>
    </row>
    <row r="217" ht="12.75">
      <c r="A217" s="160"/>
    </row>
    <row r="218" ht="12.75">
      <c r="A218" s="160"/>
    </row>
    <row r="219" ht="12.75">
      <c r="A219" s="160"/>
    </row>
    <row r="220" ht="12.75">
      <c r="A220" s="160"/>
    </row>
    <row r="221" ht="12.75">
      <c r="A221" s="160"/>
    </row>
    <row r="222" ht="12.75">
      <c r="A222" s="160"/>
    </row>
    <row r="223" ht="12.75">
      <c r="A223" s="160"/>
    </row>
    <row r="224" ht="12.75">
      <c r="A224" s="160"/>
    </row>
    <row r="225" ht="12.75">
      <c r="A225" s="160"/>
    </row>
    <row r="226" ht="12.75">
      <c r="A226" s="160"/>
    </row>
    <row r="227" ht="12.75">
      <c r="A227" s="160"/>
    </row>
    <row r="228" ht="12.75">
      <c r="A228" s="160"/>
    </row>
    <row r="229" ht="12.75">
      <c r="A229" s="160"/>
    </row>
    <row r="230" ht="12.75">
      <c r="A230" s="160"/>
    </row>
    <row r="231" ht="12.75">
      <c r="A231" s="160"/>
    </row>
    <row r="232" ht="12.75">
      <c r="A232" s="160"/>
    </row>
    <row r="233" ht="12.75">
      <c r="A233" s="160"/>
    </row>
    <row r="234" ht="12.75">
      <c r="A234" s="160"/>
    </row>
    <row r="235" ht="12.75">
      <c r="A235" s="160"/>
    </row>
    <row r="236" ht="12.75">
      <c r="A236" s="160"/>
    </row>
    <row r="237" ht="12.75">
      <c r="A237" s="160"/>
    </row>
    <row r="238" ht="12.75">
      <c r="A238" s="160"/>
    </row>
    <row r="239" ht="12.75">
      <c r="A239" s="160"/>
    </row>
    <row r="240" ht="12.75">
      <c r="A240" s="160"/>
    </row>
    <row r="241" ht="12.75">
      <c r="A241" s="160"/>
    </row>
    <row r="242" ht="12.75">
      <c r="A242" s="160"/>
    </row>
    <row r="243" ht="12.75">
      <c r="A243" s="160"/>
    </row>
    <row r="244" ht="12.75">
      <c r="A244" s="160"/>
    </row>
    <row r="245" ht="12.75">
      <c r="A245" s="160"/>
    </row>
    <row r="246" ht="12.75">
      <c r="A246" s="160"/>
    </row>
    <row r="247" ht="12.75">
      <c r="A247" s="160"/>
    </row>
    <row r="248" ht="12.75">
      <c r="A248" s="160"/>
    </row>
    <row r="249" ht="12.75">
      <c r="A249" s="160"/>
    </row>
    <row r="250" ht="12.75">
      <c r="A250" s="160"/>
    </row>
    <row r="251" ht="12.75">
      <c r="A251" s="160"/>
    </row>
    <row r="252" ht="12.75">
      <c r="A252" s="160"/>
    </row>
    <row r="253" ht="12.75">
      <c r="A253" s="160"/>
    </row>
    <row r="254" ht="12.75">
      <c r="A254" s="160"/>
    </row>
    <row r="255" ht="12.75">
      <c r="A255" s="160"/>
    </row>
    <row r="256" ht="12.75">
      <c r="A256" s="160"/>
    </row>
    <row r="257" ht="12.75">
      <c r="A257" s="160"/>
    </row>
    <row r="258" ht="12.75">
      <c r="A258" s="160"/>
    </row>
    <row r="259" ht="12.75">
      <c r="A259" s="160"/>
    </row>
    <row r="260" ht="12.75">
      <c r="A260" s="160"/>
    </row>
    <row r="261" ht="12.75">
      <c r="A261" s="160"/>
    </row>
    <row r="262" ht="12.75">
      <c r="A262" s="160"/>
    </row>
    <row r="263" ht="12.75">
      <c r="A263" s="160"/>
    </row>
    <row r="264" ht="12.75">
      <c r="A264" s="160"/>
    </row>
    <row r="265" ht="12.75">
      <c r="A265" s="160"/>
    </row>
    <row r="266" ht="12.75">
      <c r="A266" s="160"/>
    </row>
    <row r="267" ht="12.75">
      <c r="A267" s="160"/>
    </row>
    <row r="268" ht="12.75">
      <c r="A268" s="160"/>
    </row>
    <row r="269" ht="12.75">
      <c r="A269" s="160"/>
    </row>
    <row r="270" ht="12.75">
      <c r="A270" s="160"/>
    </row>
    <row r="271" ht="12.75">
      <c r="A271" s="160"/>
    </row>
    <row r="272" ht="12.75">
      <c r="A272" s="160"/>
    </row>
    <row r="273" ht="12.75">
      <c r="A273" s="160"/>
    </row>
    <row r="274" ht="12.75">
      <c r="A274" s="160"/>
    </row>
    <row r="275" ht="12.75">
      <c r="A275" s="160"/>
    </row>
    <row r="276" ht="12.75">
      <c r="A276" s="160"/>
    </row>
    <row r="277" ht="12.75">
      <c r="A277" s="160"/>
    </row>
    <row r="278" ht="12.75">
      <c r="A278" s="160"/>
    </row>
    <row r="279" ht="12.75">
      <c r="A279" s="160"/>
    </row>
    <row r="280" ht="12.75">
      <c r="A280" s="160"/>
    </row>
    <row r="281" ht="12.75">
      <c r="A281" s="160"/>
    </row>
    <row r="282" ht="12.75">
      <c r="A282" s="160"/>
    </row>
    <row r="283" ht="12.75">
      <c r="A283" s="160"/>
    </row>
    <row r="284" ht="12.75">
      <c r="A284" s="160"/>
    </row>
    <row r="285" ht="12.75">
      <c r="A285" s="160"/>
    </row>
    <row r="286" ht="12.75">
      <c r="A286" s="160"/>
    </row>
    <row r="287" ht="12.75">
      <c r="A287" s="160"/>
    </row>
    <row r="288" ht="12.75">
      <c r="A288" s="160"/>
    </row>
    <row r="289" ht="12.75">
      <c r="A289" s="160"/>
    </row>
    <row r="290" ht="12.75">
      <c r="A290" s="160"/>
    </row>
    <row r="291" ht="12.75">
      <c r="A291" s="160"/>
    </row>
    <row r="292" ht="12.75">
      <c r="A292" s="160"/>
    </row>
    <row r="293" ht="12.75">
      <c r="A293" s="160"/>
    </row>
    <row r="294" ht="12.75">
      <c r="A294" s="160"/>
    </row>
    <row r="295" ht="12.75">
      <c r="A295" s="160"/>
    </row>
    <row r="296" ht="12.75">
      <c r="A296" s="160"/>
    </row>
    <row r="297" ht="12.75">
      <c r="A297" s="160"/>
    </row>
    <row r="298" ht="12.75">
      <c r="A298" s="160"/>
    </row>
    <row r="299" ht="12.75">
      <c r="A299" s="160"/>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0"/>
  <dimension ref="A7:I34"/>
  <sheetViews>
    <sheetView showGridLines="0" workbookViewId="0" topLeftCell="A31">
      <selection activeCell="B33" sqref="B33"/>
    </sheetView>
  </sheetViews>
  <sheetFormatPr defaultColWidth="9.140625" defaultRowHeight="12.75"/>
  <sheetData>
    <row r="7" ht="12.75">
      <c r="C7" s="69"/>
    </row>
    <row r="9" spans="1:9" ht="15">
      <c r="A9" s="544"/>
      <c r="B9" s="545"/>
      <c r="C9" s="547" t="s">
        <v>355</v>
      </c>
      <c r="F9" s="130"/>
      <c r="G9" s="546" t="s">
        <v>361</v>
      </c>
      <c r="H9" s="130"/>
      <c r="I9" s="130"/>
    </row>
    <row r="10" spans="3:5" ht="12.75">
      <c r="C10" s="534" t="s">
        <v>356</v>
      </c>
      <c r="D10" s="534" t="s">
        <v>357</v>
      </c>
      <c r="E10" s="3" t="s">
        <v>360</v>
      </c>
    </row>
    <row r="11" spans="2:7" ht="12.75">
      <c r="B11" s="263" t="s">
        <v>358</v>
      </c>
      <c r="C11" s="8">
        <v>5.41</v>
      </c>
      <c r="D11" s="8">
        <v>5.41</v>
      </c>
      <c r="E11" s="532">
        <f>(C11+D11)/2</f>
        <v>5.41</v>
      </c>
      <c r="F11" s="263" t="s">
        <v>358</v>
      </c>
      <c r="G11" s="535">
        <f>'Ballast &amp; Consumb'!G86</f>
        <v>5.575954485650473</v>
      </c>
    </row>
    <row r="12" spans="1:7" ht="12.75">
      <c r="A12" s="70">
        <f>C11/2+C13/2</f>
        <v>5.59</v>
      </c>
      <c r="B12" s="38" t="s">
        <v>102</v>
      </c>
      <c r="C12" s="8">
        <v>5.591</v>
      </c>
      <c r="D12" s="8">
        <v>5.591</v>
      </c>
      <c r="E12" s="655">
        <f>(C12+D12)/2</f>
        <v>5.591</v>
      </c>
      <c r="F12" s="38" t="s">
        <v>102</v>
      </c>
      <c r="G12" s="272">
        <f>'Ballast &amp; Consumb'!D87</f>
        <v>5.566736167734427</v>
      </c>
    </row>
    <row r="13" spans="2:7" ht="12.75">
      <c r="B13" s="263" t="s">
        <v>359</v>
      </c>
      <c r="C13" s="8">
        <v>5.77</v>
      </c>
      <c r="D13" s="8">
        <v>5.77</v>
      </c>
      <c r="E13" s="532">
        <f>(C13+D13)/2</f>
        <v>5.77</v>
      </c>
      <c r="F13" s="263" t="s">
        <v>359</v>
      </c>
      <c r="G13" s="535">
        <f>'Ballast &amp; Consumb'!G88</f>
        <v>5.5589378723193255</v>
      </c>
    </row>
    <row r="14" spans="4:7" ht="12.75">
      <c r="D14" s="533" t="s">
        <v>161</v>
      </c>
      <c r="E14" s="542">
        <f>E13-E11</f>
        <v>0.35999999999999943</v>
      </c>
      <c r="F14" s="533" t="s">
        <v>161</v>
      </c>
      <c r="G14" s="543">
        <f>G13-G11</f>
        <v>-0.017016613331147568</v>
      </c>
    </row>
    <row r="15" ht="6.75" customHeight="1"/>
    <row r="16" spans="4:5" ht="12.75">
      <c r="D16" s="238" t="str">
        <f>wk2!I21</f>
        <v>SAGGING</v>
      </c>
      <c r="E16" s="261">
        <f>wk2!J21</f>
        <v>0.001000000000000334</v>
      </c>
    </row>
    <row r="17" ht="6" customHeight="1" thickBot="1"/>
    <row r="18" spans="4:5" ht="13.5" thickBot="1">
      <c r="D18" s="536" t="s">
        <v>362</v>
      </c>
      <c r="E18" s="660">
        <v>1</v>
      </c>
    </row>
    <row r="19" ht="9" customHeight="1"/>
    <row r="20" spans="1:3" ht="13.5" thickBot="1">
      <c r="A20" s="130"/>
      <c r="B20" s="130"/>
      <c r="C20" s="548" t="s">
        <v>354</v>
      </c>
    </row>
    <row r="21" spans="3:8" ht="12.75">
      <c r="C21" s="541" t="s">
        <v>90</v>
      </c>
      <c r="D21" s="537">
        <f>wk2!J39</f>
        <v>52.809999999999995</v>
      </c>
      <c r="G21" s="549" t="s">
        <v>363</v>
      </c>
      <c r="H21" s="540">
        <f>stmt!G44</f>
        <v>2951.0049178420177</v>
      </c>
    </row>
    <row r="22" spans="3:4" ht="12.75">
      <c r="C22" s="541" t="s">
        <v>30</v>
      </c>
      <c r="D22" s="538">
        <f>wk2!J43</f>
        <v>12</v>
      </c>
    </row>
    <row r="23" spans="3:8" ht="12.75">
      <c r="C23" s="541" t="s">
        <v>88</v>
      </c>
      <c r="D23" s="538">
        <f>wk2!J49</f>
        <v>35.529999999999994</v>
      </c>
      <c r="G23" s="38" t="s">
        <v>364</v>
      </c>
      <c r="H23" s="201">
        <f>Stability!D23</f>
        <v>2947</v>
      </c>
    </row>
    <row r="24" spans="3:4" ht="13.5" thickBot="1">
      <c r="C24" s="541" t="s">
        <v>43</v>
      </c>
      <c r="D24" s="539">
        <f>wk2!J53</f>
        <v>1.3464</v>
      </c>
    </row>
    <row r="25" spans="3:8" ht="13.5" thickBot="1">
      <c r="C25" s="541" t="s">
        <v>235</v>
      </c>
      <c r="D25" s="745">
        <f>SUM(D21:D24)</f>
        <v>101.6864</v>
      </c>
      <c r="G25" s="658" t="s">
        <v>449</v>
      </c>
      <c r="H25" s="659">
        <f>H21-H23</f>
        <v>4.004917842017676</v>
      </c>
    </row>
    <row r="26" ht="6.75" customHeight="1" thickBot="1"/>
    <row r="27" spans="3:4" ht="13.5" thickBot="1">
      <c r="C27" s="687" t="s">
        <v>365</v>
      </c>
      <c r="D27" s="686">
        <v>75</v>
      </c>
    </row>
    <row r="28" ht="4.5" customHeight="1"/>
    <row r="29" spans="3:4" ht="12.75">
      <c r="C29" s="541" t="s">
        <v>366</v>
      </c>
      <c r="D29" s="822">
        <f>'ds'!D29</f>
        <v>60.55501904398352</v>
      </c>
    </row>
    <row r="30" ht="5.25" customHeight="1"/>
    <row r="31" spans="2:9" ht="17.25" customHeight="1">
      <c r="B31" s="954" t="s">
        <v>448</v>
      </c>
      <c r="C31" s="954"/>
      <c r="D31" s="954"/>
      <c r="E31" s="954"/>
      <c r="F31" s="954"/>
      <c r="G31" s="954"/>
      <c r="H31" s="954"/>
      <c r="I31" s="954"/>
    </row>
    <row r="34" spans="3:8" ht="15.75" customHeight="1">
      <c r="C34" s="954" t="s">
        <v>367</v>
      </c>
      <c r="D34" s="954"/>
      <c r="E34" s="954"/>
      <c r="F34" s="954"/>
      <c r="G34" s="954"/>
      <c r="H34" s="954"/>
    </row>
  </sheetData>
  <mergeCells count="2">
    <mergeCell ref="C34:H34"/>
    <mergeCell ref="B31:I31"/>
  </mergeCells>
  <printOptions/>
  <pageMargins left="0.75" right="0.75" top="1" bottom="1" header="0.5" footer="0.5"/>
  <pageSetup horizontalDpi="360" verticalDpi="36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3"/>
  <dimension ref="A1:I79"/>
  <sheetViews>
    <sheetView showGridLines="0" workbookViewId="0" topLeftCell="A1">
      <selection activeCell="J2" sqref="J2:K2"/>
    </sheetView>
  </sheetViews>
  <sheetFormatPr defaultColWidth="9.140625" defaultRowHeight="12.75"/>
  <sheetData>
    <row r="1" ht="12.75">
      <c r="B1" s="37" t="s">
        <v>450</v>
      </c>
    </row>
    <row r="6" ht="12.75" customHeight="1">
      <c r="E6" s="663" t="s">
        <v>451</v>
      </c>
    </row>
    <row r="7" ht="14.25" customHeight="1">
      <c r="E7" s="663" t="s">
        <v>456</v>
      </c>
    </row>
    <row r="9" ht="12.75">
      <c r="B9" s="37" t="s">
        <v>565</v>
      </c>
    </row>
    <row r="10" spans="1:9" ht="16.5">
      <c r="A10" s="664"/>
      <c r="B10" s="890" t="s">
        <v>566</v>
      </c>
      <c r="D10" s="663" t="s">
        <v>452</v>
      </c>
      <c r="E10" s="774"/>
      <c r="F10" s="774"/>
      <c r="G10" s="774"/>
      <c r="H10" s="774"/>
      <c r="I10" s="774"/>
    </row>
    <row r="11" spans="1:9" ht="16.5">
      <c r="A11" s="889" t="s">
        <v>564</v>
      </c>
      <c r="C11" s="663" t="s">
        <v>453</v>
      </c>
      <c r="D11" s="774"/>
      <c r="E11" s="774"/>
      <c r="F11" s="774"/>
      <c r="G11" s="774"/>
      <c r="H11" s="774"/>
      <c r="I11" s="774"/>
    </row>
    <row r="12" spans="2:9" ht="16.5">
      <c r="B12" s="663" t="s">
        <v>467</v>
      </c>
      <c r="D12" s="774"/>
      <c r="E12" s="774"/>
      <c r="F12" s="774"/>
      <c r="G12" s="774"/>
      <c r="H12" s="774"/>
      <c r="I12" s="774"/>
    </row>
    <row r="13" spans="1:9" ht="16.5">
      <c r="A13" s="663" t="s">
        <v>454</v>
      </c>
      <c r="D13" s="774"/>
      <c r="E13" s="774"/>
      <c r="F13" s="774"/>
      <c r="G13" s="774"/>
      <c r="H13" s="774"/>
      <c r="I13" s="774"/>
    </row>
    <row r="14" spans="1:9" ht="16.5">
      <c r="A14" s="663" t="s">
        <v>468</v>
      </c>
      <c r="D14" s="774"/>
      <c r="E14" s="774"/>
      <c r="F14" s="774"/>
      <c r="G14" s="774"/>
      <c r="H14" s="774"/>
      <c r="I14" s="774"/>
    </row>
    <row r="15" spans="1:9" ht="16.5">
      <c r="A15" s="663" t="s">
        <v>455</v>
      </c>
      <c r="D15" s="774"/>
      <c r="E15" s="774"/>
      <c r="F15" s="774"/>
      <c r="G15" s="774"/>
      <c r="H15" s="774"/>
      <c r="I15" s="774"/>
    </row>
    <row r="17" spans="2:9" ht="16.5">
      <c r="B17" s="955" t="s">
        <v>458</v>
      </c>
      <c r="C17" s="955"/>
      <c r="D17" s="955"/>
      <c r="E17" s="955"/>
      <c r="F17" s="955"/>
      <c r="G17" s="955"/>
      <c r="H17" s="955"/>
      <c r="I17" s="955"/>
    </row>
    <row r="19" ht="12.75">
      <c r="B19" s="69" t="s">
        <v>461</v>
      </c>
    </row>
    <row r="20" spans="4:6" ht="12.75">
      <c r="D20" s="38" t="s">
        <v>459</v>
      </c>
      <c r="E20" s="59">
        <v>1616.15</v>
      </c>
      <c r="F20" s="689">
        <v>0.396</v>
      </c>
    </row>
    <row r="21" spans="4:6" ht="12.75">
      <c r="D21" s="38" t="s">
        <v>460</v>
      </c>
      <c r="E21" s="688">
        <v>2463.85</v>
      </c>
      <c r="F21" s="689">
        <v>0.604</v>
      </c>
    </row>
    <row r="22" spans="4:5" ht="12.75">
      <c r="D22" s="38" t="s">
        <v>232</v>
      </c>
      <c r="E22" s="40">
        <f>SUM(E20:E21)</f>
        <v>4080</v>
      </c>
    </row>
    <row r="24" ht="12.75">
      <c r="B24" t="s">
        <v>465</v>
      </c>
    </row>
    <row r="25" spans="4:5" ht="12.75">
      <c r="D25" s="108" t="s">
        <v>462</v>
      </c>
      <c r="E25" s="6">
        <v>3020</v>
      </c>
    </row>
    <row r="26" spans="4:5" ht="12.75">
      <c r="D26" s="108" t="s">
        <v>463</v>
      </c>
      <c r="E26" s="149">
        <f>E25*F21</f>
        <v>1824.08</v>
      </c>
    </row>
    <row r="27" spans="4:5" ht="12.75">
      <c r="D27" s="108" t="s">
        <v>464</v>
      </c>
      <c r="E27" s="149">
        <f>E25*F20</f>
        <v>1195.92</v>
      </c>
    </row>
    <row r="29" ht="12.75">
      <c r="B29" s="69" t="s">
        <v>466</v>
      </c>
    </row>
    <row r="31" spans="2:9" ht="18">
      <c r="B31" s="956" t="s">
        <v>499</v>
      </c>
      <c r="C31" s="956"/>
      <c r="D31" s="956"/>
      <c r="E31" s="956" t="s">
        <v>498</v>
      </c>
      <c r="F31" s="956"/>
      <c r="G31" s="956"/>
      <c r="H31" s="956"/>
      <c r="I31" s="956"/>
    </row>
    <row r="33" spans="2:4" ht="14.25">
      <c r="B33" s="782" t="s">
        <v>500</v>
      </c>
      <c r="C33" s="877" t="s">
        <v>563</v>
      </c>
      <c r="D33" s="878"/>
    </row>
    <row r="34" spans="3:4" ht="12.75">
      <c r="C34" s="877" t="s">
        <v>567</v>
      </c>
      <c r="D34" s="878"/>
    </row>
    <row r="35" ht="12.75">
      <c r="A35" s="37" t="s">
        <v>529</v>
      </c>
    </row>
    <row r="36" ht="12.75">
      <c r="A36" s="37" t="s">
        <v>507</v>
      </c>
    </row>
    <row r="37" ht="12.75">
      <c r="A37" s="876" t="s">
        <v>561</v>
      </c>
    </row>
    <row r="38" ht="12.75">
      <c r="A38" s="876" t="s">
        <v>562</v>
      </c>
    </row>
    <row r="39" ht="12.75">
      <c r="A39" s="37" t="s">
        <v>530</v>
      </c>
    </row>
    <row r="40" ht="12.75">
      <c r="A40" s="37" t="s">
        <v>501</v>
      </c>
    </row>
    <row r="41" ht="12.75">
      <c r="A41" s="37" t="s">
        <v>502</v>
      </c>
    </row>
    <row r="42" ht="12.75">
      <c r="A42" s="783"/>
    </row>
    <row r="43" ht="12.75">
      <c r="A43" s="37" t="s">
        <v>504</v>
      </c>
    </row>
    <row r="44" ht="12.75">
      <c r="A44" s="37" t="s">
        <v>503</v>
      </c>
    </row>
    <row r="45" ht="12.75">
      <c r="A45" s="784"/>
    </row>
    <row r="46" ht="12.75">
      <c r="A46" s="37" t="s">
        <v>505</v>
      </c>
    </row>
    <row r="47" ht="12.75">
      <c r="A47" s="37" t="s">
        <v>506</v>
      </c>
    </row>
    <row r="48" ht="12.75">
      <c r="A48" s="785" t="s">
        <v>531</v>
      </c>
    </row>
    <row r="49" ht="12.75">
      <c r="A49" s="879" t="s">
        <v>532</v>
      </c>
    </row>
    <row r="50" ht="12.75">
      <c r="A50" s="1" t="s">
        <v>508</v>
      </c>
    </row>
    <row r="51" spans="1:7" ht="12.75">
      <c r="A51" s="1"/>
      <c r="C51" s="786"/>
      <c r="D51" s="787"/>
      <c r="E51" s="791"/>
      <c r="F51" s="787"/>
      <c r="G51" s="788"/>
    </row>
    <row r="52" spans="1:7" ht="12.75">
      <c r="A52" s="1"/>
      <c r="C52" s="719"/>
      <c r="D52" s="95"/>
      <c r="E52" s="792"/>
      <c r="F52" s="95"/>
      <c r="G52" s="721"/>
    </row>
    <row r="53" spans="1:7" ht="12.75">
      <c r="A53" s="1"/>
      <c r="C53" s="719"/>
      <c r="D53" s="95"/>
      <c r="E53" s="792"/>
      <c r="F53" s="95"/>
      <c r="G53" s="721"/>
    </row>
    <row r="54" spans="1:7" ht="12.75">
      <c r="A54" s="1"/>
      <c r="C54" s="789"/>
      <c r="D54" s="81"/>
      <c r="E54" s="793"/>
      <c r="F54" s="81"/>
      <c r="G54" s="790"/>
    </row>
    <row r="55" ht="12.75">
      <c r="A55" s="1"/>
    </row>
    <row r="56" ht="12.75">
      <c r="A56" s="1"/>
    </row>
    <row r="57" ht="12.75">
      <c r="A57" s="1"/>
    </row>
    <row r="58" spans="1:3" ht="12.75">
      <c r="A58" s="37" t="s">
        <v>509</v>
      </c>
      <c r="B58" s="658" t="s">
        <v>510</v>
      </c>
      <c r="C58" s="785" t="s">
        <v>516</v>
      </c>
    </row>
    <row r="59" spans="1:3" ht="12.75">
      <c r="A59" s="1"/>
      <c r="B59" s="658" t="s">
        <v>511</v>
      </c>
      <c r="C59" s="785" t="s">
        <v>517</v>
      </c>
    </row>
    <row r="60" spans="1:3" ht="12.75">
      <c r="A60" s="37" t="s">
        <v>512</v>
      </c>
      <c r="B60" s="658" t="s">
        <v>513</v>
      </c>
      <c r="C60" s="785" t="s">
        <v>518</v>
      </c>
    </row>
    <row r="61" spans="2:3" ht="12.75">
      <c r="B61" s="658" t="s">
        <v>515</v>
      </c>
      <c r="C61" s="785" t="s">
        <v>519</v>
      </c>
    </row>
    <row r="62" spans="2:3" ht="12.75">
      <c r="B62" s="658" t="s">
        <v>514</v>
      </c>
      <c r="C62" s="785" t="s">
        <v>520</v>
      </c>
    </row>
    <row r="63" ht="12.75">
      <c r="A63" s="794" t="s">
        <v>533</v>
      </c>
    </row>
    <row r="64" ht="12.75">
      <c r="A64" s="783" t="s">
        <v>534</v>
      </c>
    </row>
    <row r="65" ht="12.75">
      <c r="A65" s="783" t="s">
        <v>546</v>
      </c>
    </row>
    <row r="66" spans="1:5" ht="12.75">
      <c r="A66" s="880" t="s">
        <v>543</v>
      </c>
      <c r="E66" s="823" t="s">
        <v>541</v>
      </c>
    </row>
    <row r="67" ht="12.75">
      <c r="B67" s="1" t="s">
        <v>542</v>
      </c>
    </row>
    <row r="68" ht="12.75">
      <c r="B68" s="795" t="s">
        <v>521</v>
      </c>
    </row>
    <row r="69" ht="12.75">
      <c r="B69" s="795" t="s">
        <v>522</v>
      </c>
    </row>
    <row r="70" ht="12.75">
      <c r="B70" s="795" t="s">
        <v>523</v>
      </c>
    </row>
    <row r="71" ht="12.75">
      <c r="B71" s="795" t="s">
        <v>524</v>
      </c>
    </row>
    <row r="72" ht="12.75">
      <c r="B72" s="795" t="s">
        <v>523</v>
      </c>
    </row>
    <row r="73" ht="12.75">
      <c r="B73" s="795" t="s">
        <v>522</v>
      </c>
    </row>
    <row r="74" ht="12.75">
      <c r="B74" s="795" t="s">
        <v>525</v>
      </c>
    </row>
    <row r="75" ht="12.75">
      <c r="A75" s="783" t="s">
        <v>526</v>
      </c>
    </row>
    <row r="77" spans="1:3" ht="12.75">
      <c r="A77" s="797" t="s">
        <v>547</v>
      </c>
      <c r="C77" s="796"/>
    </row>
    <row r="78" spans="1:3" ht="12.75">
      <c r="A78" s="796" t="s">
        <v>527</v>
      </c>
      <c r="C78" s="796"/>
    </row>
    <row r="79" spans="1:3" ht="12.75">
      <c r="A79" t="s">
        <v>91</v>
      </c>
      <c r="C79" s="796" t="s">
        <v>528</v>
      </c>
    </row>
  </sheetData>
  <mergeCells count="2">
    <mergeCell ref="B17:I17"/>
    <mergeCell ref="B31:I31"/>
  </mergeCells>
  <hyperlinks>
    <hyperlink ref="A11" r:id="rId1" display="http://seasoft.by.ru/"/>
    <hyperlink ref="B10" r:id="rId2" display="mailto:navigo@imail.ru"/>
  </hyperlinks>
  <printOptions/>
  <pageMargins left="0.75" right="0.75" top="1" bottom="1" header="0.5" footer="0.5"/>
  <pageSetup horizontalDpi="360" verticalDpi="360" orientation="portrait" paperSize="9" r:id="rId4"/>
  <drawing r:id="rId3"/>
</worksheet>
</file>

<file path=xl/worksheets/sheet15.xml><?xml version="1.0" encoding="utf-8"?>
<worksheet xmlns="http://schemas.openxmlformats.org/spreadsheetml/2006/main" xmlns:r="http://schemas.openxmlformats.org/officeDocument/2006/relationships">
  <sheetPr codeName="Sheet14"/>
  <dimension ref="A4:AD65"/>
  <sheetViews>
    <sheetView zoomScale="75" zoomScaleNormal="75" workbookViewId="0" topLeftCell="A26">
      <selection activeCell="E32" sqref="E32"/>
    </sheetView>
  </sheetViews>
  <sheetFormatPr defaultColWidth="9.140625" defaultRowHeight="12.75"/>
  <cols>
    <col min="1" max="1" width="4.8515625" style="0" customWidth="1"/>
    <col min="2" max="2" width="3.421875" style="0" customWidth="1"/>
    <col min="3" max="3" width="4.7109375" style="0" customWidth="1"/>
    <col min="4" max="4" width="22.28125" style="0" customWidth="1"/>
    <col min="5" max="5" width="27.421875" style="0" customWidth="1"/>
    <col min="6" max="6" width="11.140625" style="0" customWidth="1"/>
    <col min="7" max="7" width="4.7109375" style="0" customWidth="1"/>
    <col min="8" max="8" width="15.421875" style="0" customWidth="1"/>
    <col min="9" max="9" width="23.8515625" style="0" customWidth="1"/>
    <col min="10" max="10" width="5.28125" style="0" customWidth="1"/>
    <col min="11" max="11" width="5.57421875" style="0" customWidth="1"/>
    <col min="12" max="12" width="4.28125" style="0" customWidth="1"/>
    <col min="15" max="15" width="4.421875" style="0" customWidth="1"/>
    <col min="16" max="16" width="1.7109375" style="0" customWidth="1"/>
    <col min="17" max="17" width="8.00390625" style="0" customWidth="1"/>
    <col min="18" max="18" width="1.7109375" style="0" customWidth="1"/>
    <col min="19" max="19" width="4.421875" style="0" customWidth="1"/>
    <col min="20" max="20" width="7.00390625" style="0" customWidth="1"/>
    <col min="21" max="21" width="7.28125" style="0" customWidth="1"/>
    <col min="22" max="22" width="2.57421875" style="0" customWidth="1"/>
    <col min="23" max="23" width="2.7109375" style="0" customWidth="1"/>
    <col min="24" max="24" width="6.7109375" style="0" customWidth="1"/>
    <col min="25" max="25" width="7.28125" style="0" customWidth="1"/>
    <col min="26" max="26" width="4.7109375" style="0" customWidth="1"/>
    <col min="27" max="27" width="1.7109375" style="0" customWidth="1"/>
    <col min="28" max="28" width="7.57421875" style="0" customWidth="1"/>
    <col min="29" max="29" width="1.8515625" style="0" customWidth="1"/>
    <col min="30" max="30" width="4.421875" style="0" customWidth="1"/>
  </cols>
  <sheetData>
    <row r="1" ht="18" customHeight="1"/>
    <row r="2" ht="19.5" customHeight="1"/>
    <row r="3" ht="18" customHeight="1"/>
    <row r="4" ht="17.25" customHeight="1">
      <c r="I4" s="95"/>
    </row>
    <row r="5" spans="4:9" ht="9" customHeight="1">
      <c r="D5" s="81"/>
      <c r="E5" s="81"/>
      <c r="F5" s="81"/>
      <c r="H5" s="959"/>
      <c r="I5" s="960"/>
    </row>
    <row r="6" spans="4:11" ht="9.75" customHeight="1" thickBot="1">
      <c r="D6" s="719"/>
      <c r="E6" s="95"/>
      <c r="F6" s="721"/>
      <c r="G6" s="722"/>
      <c r="H6" s="957"/>
      <c r="I6" s="958"/>
      <c r="J6" s="730"/>
      <c r="K6" s="97"/>
    </row>
    <row r="7" spans="2:11" ht="7.5" customHeight="1" thickBot="1">
      <c r="B7" s="97"/>
      <c r="C7" s="728"/>
      <c r="D7" s="723"/>
      <c r="E7" s="724"/>
      <c r="F7" s="725"/>
      <c r="G7" s="729"/>
      <c r="H7" s="961"/>
      <c r="I7" s="962"/>
      <c r="J7" s="95"/>
      <c r="K7" s="96"/>
    </row>
    <row r="8" spans="2:11" ht="12.75">
      <c r="B8" s="94"/>
      <c r="K8" s="96"/>
    </row>
    <row r="9" spans="2:11" ht="12.75">
      <c r="B9" s="94"/>
      <c r="K9" s="96"/>
    </row>
    <row r="10" spans="2:11" ht="12.75">
      <c r="B10" s="94"/>
      <c r="K10" s="96"/>
    </row>
    <row r="11" spans="2:11" ht="12.75">
      <c r="B11" s="716"/>
      <c r="K11" s="96"/>
    </row>
    <row r="12" spans="2:11" ht="12.75">
      <c r="B12" s="717"/>
      <c r="K12" s="96"/>
    </row>
    <row r="13" spans="2:11" ht="12.75">
      <c r="B13" s="717"/>
      <c r="K13" s="96"/>
    </row>
    <row r="14" spans="2:11" ht="13.5" thickBot="1">
      <c r="B14" s="718"/>
      <c r="C14" s="97"/>
      <c r="D14" s="97"/>
      <c r="E14" s="97"/>
      <c r="F14" s="97"/>
      <c r="G14" s="97"/>
      <c r="H14" s="97"/>
      <c r="I14" s="97"/>
      <c r="J14" s="97"/>
      <c r="K14" s="98"/>
    </row>
    <row r="16" ht="12.75">
      <c r="F16" s="700"/>
    </row>
    <row r="17" spans="6:7" ht="12.75">
      <c r="F17" s="700"/>
      <c r="G17" s="720">
        <v>2.4</v>
      </c>
    </row>
    <row r="18" spans="4:9" ht="12.75">
      <c r="D18" s="2">
        <v>12.4</v>
      </c>
      <c r="E18" s="57">
        <v>17.4</v>
      </c>
      <c r="F18" s="700"/>
      <c r="G18" s="854"/>
      <c r="H18" s="2">
        <v>5.5</v>
      </c>
      <c r="I18" s="2">
        <v>13.2</v>
      </c>
    </row>
    <row r="19" spans="2:11" ht="14.25" customHeight="1" thickBot="1">
      <c r="B19" s="711">
        <v>0.6</v>
      </c>
      <c r="C19" s="712">
        <v>1.3</v>
      </c>
      <c r="F19" s="700"/>
      <c r="G19" s="855"/>
      <c r="J19" s="970">
        <v>5.9</v>
      </c>
      <c r="K19" s="970"/>
    </row>
    <row r="20" spans="2:11" ht="18.75" customHeight="1">
      <c r="B20" s="963"/>
      <c r="C20" s="963"/>
      <c r="D20" s="963"/>
      <c r="E20" s="93"/>
      <c r="F20" s="710">
        <v>1.5</v>
      </c>
      <c r="G20" s="692"/>
      <c r="H20" s="93"/>
      <c r="I20" s="691"/>
      <c r="J20" s="703"/>
      <c r="K20" s="12"/>
    </row>
    <row r="21" spans="2:11" ht="6.75" customHeight="1">
      <c r="B21" s="736"/>
      <c r="C21" s="12"/>
      <c r="D21" s="12"/>
      <c r="E21" s="95"/>
      <c r="F21" s="731"/>
      <c r="G21" s="735"/>
      <c r="H21" s="95"/>
      <c r="I21" s="826"/>
      <c r="J21" s="737"/>
      <c r="K21" s="12"/>
    </row>
    <row r="22" spans="2:11" ht="20.25" customHeight="1">
      <c r="B22" s="694"/>
      <c r="C22" s="95"/>
      <c r="D22" s="695"/>
      <c r="E22" s="696"/>
      <c r="F22" s="701"/>
      <c r="G22" s="95"/>
      <c r="H22" s="695"/>
      <c r="I22" s="734"/>
      <c r="J22" s="827"/>
      <c r="K22" s="691"/>
    </row>
    <row r="23" spans="2:11" ht="18.75" customHeight="1">
      <c r="B23" s="694"/>
      <c r="C23" s="95"/>
      <c r="D23" s="697"/>
      <c r="E23" s="705">
        <v>25.3</v>
      </c>
      <c r="F23" s="702"/>
      <c r="G23" s="95"/>
      <c r="H23" s="697"/>
      <c r="I23" s="708">
        <v>18.7</v>
      </c>
      <c r="K23" s="690"/>
    </row>
    <row r="24" spans="1:12" ht="19.5" customHeight="1">
      <c r="A24" s="706">
        <v>7.55</v>
      </c>
      <c r="B24" s="694"/>
      <c r="C24" s="713">
        <v>11.5</v>
      </c>
      <c r="D24" s="714">
        <v>8.5</v>
      </c>
      <c r="E24" s="707">
        <v>11.9</v>
      </c>
      <c r="F24" s="856" t="s">
        <v>554</v>
      </c>
      <c r="G24" s="699"/>
      <c r="H24" s="697"/>
      <c r="I24" s="727">
        <v>11.9</v>
      </c>
      <c r="J24" s="726">
        <v>5.1</v>
      </c>
      <c r="K24" s="857">
        <v>4.5</v>
      </c>
      <c r="L24" s="825">
        <v>2.9</v>
      </c>
    </row>
    <row r="25" spans="2:11" ht="17.25" customHeight="1">
      <c r="B25" s="694"/>
      <c r="C25" s="95"/>
      <c r="D25" s="697"/>
      <c r="E25" s="95"/>
      <c r="F25" s="702"/>
      <c r="G25" s="95"/>
      <c r="H25" s="709"/>
      <c r="I25" s="698"/>
      <c r="K25" s="690"/>
    </row>
    <row r="26" spans="2:11" ht="17.25" customHeight="1">
      <c r="B26" s="694"/>
      <c r="C26" s="95"/>
      <c r="D26" s="697"/>
      <c r="E26" s="95"/>
      <c r="F26" s="702"/>
      <c r="G26" s="95"/>
      <c r="H26" s="709"/>
      <c r="I26" s="698"/>
      <c r="J26" s="697"/>
      <c r="K26" s="715"/>
    </row>
    <row r="27" spans="2:11" ht="6.75" customHeight="1">
      <c r="B27" s="694"/>
      <c r="C27" s="95"/>
      <c r="D27" s="696"/>
      <c r="E27" s="696"/>
      <c r="F27" s="733"/>
      <c r="G27" s="95"/>
      <c r="H27" s="696"/>
      <c r="I27" s="824"/>
      <c r="J27" s="715"/>
      <c r="K27" s="12"/>
    </row>
    <row r="28" spans="2:10" ht="18.75" customHeight="1" thickBot="1">
      <c r="B28" s="967"/>
      <c r="C28" s="967"/>
      <c r="D28" s="967"/>
      <c r="E28" s="97"/>
      <c r="F28" s="732">
        <v>1.5</v>
      </c>
      <c r="G28" s="693"/>
      <c r="H28" s="97"/>
      <c r="I28" s="715"/>
      <c r="J28" s="95"/>
    </row>
    <row r="29" ht="12.75">
      <c r="F29" s="704">
        <v>4.45</v>
      </c>
    </row>
    <row r="30" ht="12.75">
      <c r="F30" s="700"/>
    </row>
    <row r="33" ht="12.75">
      <c r="D33" t="s">
        <v>555</v>
      </c>
    </row>
    <row r="40" spans="19:26" ht="18" customHeight="1" thickBot="1">
      <c r="S40" s="969" t="s">
        <v>553</v>
      </c>
      <c r="T40" s="969"/>
      <c r="U40" s="969"/>
      <c r="V40" s="969"/>
      <c r="W40" s="969"/>
      <c r="X40" s="969"/>
      <c r="Y40" s="969"/>
      <c r="Z40" s="969"/>
    </row>
    <row r="41" ht="13.5" thickTop="1"/>
    <row r="43" spans="22:23" ht="12.75">
      <c r="V43" s="965">
        <v>8.5</v>
      </c>
      <c r="W43" s="965"/>
    </row>
    <row r="44" spans="19:26" ht="12.75">
      <c r="S44" s="842"/>
      <c r="V44" s="834"/>
      <c r="Z44" s="844"/>
    </row>
    <row r="45" spans="19:26" ht="12.75">
      <c r="S45" s="843"/>
      <c r="V45" s="834"/>
      <c r="Z45" s="845"/>
    </row>
    <row r="46" spans="18:30" ht="18.75" customHeight="1">
      <c r="R46" s="5"/>
      <c r="S46" s="837"/>
      <c r="T46" s="838"/>
      <c r="U46" s="838"/>
      <c r="V46" s="839"/>
      <c r="W46" s="838"/>
      <c r="X46" s="838"/>
      <c r="Y46" s="838"/>
      <c r="Z46" s="840"/>
      <c r="AA46" s="5"/>
      <c r="AB46" s="81"/>
      <c r="AC46" s="81"/>
      <c r="AD46" s="81"/>
    </row>
    <row r="47" spans="15:30" ht="9" customHeight="1">
      <c r="O47" s="786"/>
      <c r="P47" s="787"/>
      <c r="Q47" s="787"/>
      <c r="R47" s="721"/>
      <c r="V47" s="834"/>
      <c r="AA47" s="719"/>
      <c r="AD47" s="721"/>
    </row>
    <row r="48" spans="15:30" ht="12.75">
      <c r="O48" s="719"/>
      <c r="Q48" s="971"/>
      <c r="R48" s="971"/>
      <c r="S48" s="95"/>
      <c r="V48" s="834"/>
      <c r="AA48" s="964"/>
      <c r="AB48" s="964"/>
      <c r="AD48" s="721"/>
    </row>
    <row r="49" spans="15:30" ht="12.75">
      <c r="O49" s="719"/>
      <c r="P49" s="830"/>
      <c r="V49" s="834"/>
      <c r="AC49" s="833"/>
      <c r="AD49" s="721"/>
    </row>
    <row r="50" spans="15:30" ht="12.75">
      <c r="O50" s="828"/>
      <c r="V50" s="834"/>
      <c r="AD50" s="831"/>
    </row>
    <row r="51" spans="15:30" ht="12.75">
      <c r="O51" s="828"/>
      <c r="V51" s="834"/>
      <c r="AD51" s="831"/>
    </row>
    <row r="52" spans="15:30" ht="12.75">
      <c r="O52" s="828"/>
      <c r="V52" s="834"/>
      <c r="AB52" s="966">
        <v>700</v>
      </c>
      <c r="AD52" s="831"/>
    </row>
    <row r="53" spans="15:30" ht="12.75">
      <c r="O53" s="828"/>
      <c r="V53" s="834"/>
      <c r="X53" s="846" t="s">
        <v>551</v>
      </c>
      <c r="AB53" s="966"/>
      <c r="AD53" s="831"/>
    </row>
    <row r="54" spans="15:30" ht="12.75">
      <c r="O54" s="828"/>
      <c r="V54" s="834"/>
      <c r="AD54" s="831"/>
    </row>
    <row r="55" spans="15:30" ht="18.75" customHeight="1">
      <c r="O55" s="829"/>
      <c r="S55" s="847" t="s">
        <v>550</v>
      </c>
      <c r="V55" s="834"/>
      <c r="AD55" s="832"/>
    </row>
    <row r="56" spans="15:30" ht="12.75">
      <c r="O56" s="722"/>
      <c r="Q56" s="846" t="s">
        <v>549</v>
      </c>
      <c r="V56" s="834"/>
      <c r="AC56" s="841"/>
      <c r="AD56" s="722"/>
    </row>
    <row r="57" spans="15:30" ht="12.75">
      <c r="O57" s="722"/>
      <c r="V57" s="834"/>
      <c r="AB57" s="2"/>
      <c r="AD57" s="722"/>
    </row>
    <row r="58" spans="15:30" ht="12.75">
      <c r="O58" s="722"/>
      <c r="V58" s="834"/>
      <c r="AB58" s="63" t="s">
        <v>548</v>
      </c>
      <c r="AD58" s="722"/>
    </row>
    <row r="59" spans="15:30" ht="12.75">
      <c r="O59" s="722"/>
      <c r="V59" s="834"/>
      <c r="AB59" s="2"/>
      <c r="AD59" s="722"/>
    </row>
    <row r="60" spans="15:30" ht="12.75">
      <c r="O60" s="9"/>
      <c r="P60" s="81"/>
      <c r="Q60" s="81"/>
      <c r="R60" s="81"/>
      <c r="S60" s="81"/>
      <c r="T60" s="81"/>
      <c r="U60" s="81"/>
      <c r="V60" s="834"/>
      <c r="AC60" s="81"/>
      <c r="AD60" s="9"/>
    </row>
    <row r="61" spans="15:30" ht="12.75">
      <c r="O61" s="786"/>
      <c r="P61" s="848"/>
      <c r="Q61" s="786"/>
      <c r="R61" s="787"/>
      <c r="S61" s="788"/>
      <c r="T61" s="786"/>
      <c r="U61" s="788"/>
      <c r="V61" s="835"/>
      <c r="W61" s="788"/>
      <c r="X61" s="786"/>
      <c r="Y61" s="788"/>
      <c r="Z61" s="786"/>
      <c r="AA61" s="787"/>
      <c r="AB61" s="788"/>
      <c r="AC61" s="851"/>
      <c r="AD61" s="721"/>
    </row>
    <row r="62" spans="16:29" ht="12.75">
      <c r="P62" s="849"/>
      <c r="Q62" s="789"/>
      <c r="R62" s="81"/>
      <c r="S62" s="790"/>
      <c r="T62" s="789"/>
      <c r="U62" s="790"/>
      <c r="V62" s="836"/>
      <c r="W62" s="790"/>
      <c r="X62" s="789"/>
      <c r="Y62" s="790"/>
      <c r="Z62" s="789"/>
      <c r="AA62" s="81"/>
      <c r="AB62" s="790"/>
      <c r="AC62" s="852"/>
    </row>
    <row r="63" spans="16:29" ht="12.75">
      <c r="P63" s="850"/>
      <c r="V63" s="834"/>
      <c r="AC63" s="853"/>
    </row>
    <row r="64" spans="21:24" ht="12.75">
      <c r="U64" s="968" t="s">
        <v>552</v>
      </c>
      <c r="V64" s="968"/>
      <c r="W64" s="968"/>
      <c r="X64" s="968"/>
    </row>
    <row r="65" ht="12.75">
      <c r="V65" s="834"/>
    </row>
  </sheetData>
  <mergeCells count="12">
    <mergeCell ref="U64:X64"/>
    <mergeCell ref="S40:Z40"/>
    <mergeCell ref="J19:K19"/>
    <mergeCell ref="Q48:R48"/>
    <mergeCell ref="AA48:AB48"/>
    <mergeCell ref="V43:W43"/>
    <mergeCell ref="AB52:AB53"/>
    <mergeCell ref="B28:D28"/>
    <mergeCell ref="H6:I6"/>
    <mergeCell ref="H5:I5"/>
    <mergeCell ref="H7:I7"/>
    <mergeCell ref="B20:D20"/>
  </mergeCells>
  <printOptions/>
  <pageMargins left="0.47" right="0.34" top="0.49" bottom="0.42" header="0.27" footer="0.22"/>
  <pageSetup horizontalDpi="360" verticalDpi="36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4"/>
  <dimension ref="A1:BI28"/>
  <sheetViews>
    <sheetView showGridLines="0" workbookViewId="0" topLeftCell="A15">
      <selection activeCell="AB23" sqref="AB23"/>
    </sheetView>
  </sheetViews>
  <sheetFormatPr defaultColWidth="9.140625" defaultRowHeight="12.75"/>
  <cols>
    <col min="1" max="1" width="8.421875" style="87" customWidth="1"/>
    <col min="2" max="25" width="1.28515625" style="87" customWidth="1"/>
    <col min="26" max="27" width="0.71875" style="87" customWidth="1"/>
    <col min="28" max="58" width="1.28515625" style="87" customWidth="1"/>
    <col min="59" max="16384" width="9.140625" style="87" customWidth="1"/>
  </cols>
  <sheetData>
    <row r="1" spans="13:51" ht="19.5" customHeight="1">
      <c r="M1" s="926" t="s">
        <v>169</v>
      </c>
      <c r="N1" s="926"/>
      <c r="O1" s="926"/>
      <c r="P1" s="926"/>
      <c r="Q1" s="926"/>
      <c r="R1" s="926"/>
      <c r="S1" s="926"/>
      <c r="T1" s="926"/>
      <c r="U1" s="926"/>
      <c r="V1" s="926"/>
      <c r="W1" s="926"/>
      <c r="X1" s="926"/>
      <c r="Y1" s="926"/>
      <c r="Z1" s="926"/>
      <c r="AA1" s="926"/>
      <c r="AB1" s="926"/>
      <c r="AC1" s="926"/>
      <c r="AD1" s="926"/>
      <c r="AE1" s="926"/>
      <c r="AF1" s="926"/>
      <c r="AG1" s="926"/>
      <c r="AH1" s="926"/>
      <c r="AI1" s="926"/>
      <c r="AJ1" s="926"/>
      <c r="AK1" s="926"/>
      <c r="AL1" s="926"/>
      <c r="AM1" s="926"/>
      <c r="AN1" s="926"/>
      <c r="AO1" s="926"/>
      <c r="AP1" s="399"/>
      <c r="AQ1" s="399"/>
      <c r="AR1" s="399"/>
      <c r="AS1" s="399"/>
      <c r="AT1" s="399"/>
      <c r="AU1" s="399"/>
      <c r="AV1" s="399"/>
      <c r="AW1" s="399"/>
      <c r="AX1" s="399"/>
      <c r="AY1" s="399"/>
    </row>
    <row r="2" spans="1:58" ht="12.75">
      <c r="A2" s="400" t="s">
        <v>183</v>
      </c>
      <c r="B2" s="401">
        <v>1</v>
      </c>
      <c r="C2" s="401">
        <v>2</v>
      </c>
      <c r="D2" s="401">
        <v>3</v>
      </c>
      <c r="E2" s="401">
        <v>4</v>
      </c>
      <c r="F2" s="401">
        <v>5</v>
      </c>
      <c r="G2" s="401">
        <v>6</v>
      </c>
      <c r="H2" s="401">
        <v>7</v>
      </c>
      <c r="I2" s="401">
        <v>8</v>
      </c>
      <c r="J2" s="401">
        <v>9</v>
      </c>
      <c r="K2" s="401">
        <v>10</v>
      </c>
      <c r="L2" s="401">
        <v>11</v>
      </c>
      <c r="M2" s="401">
        <v>12</v>
      </c>
      <c r="N2" s="401">
        <v>13</v>
      </c>
      <c r="O2" s="401">
        <v>14</v>
      </c>
      <c r="P2" s="401">
        <v>15</v>
      </c>
      <c r="Q2" s="401">
        <v>16</v>
      </c>
      <c r="R2" s="401">
        <v>17</v>
      </c>
      <c r="S2" s="401">
        <v>18</v>
      </c>
      <c r="T2" s="401">
        <v>19</v>
      </c>
      <c r="U2" s="401">
        <v>20</v>
      </c>
      <c r="V2" s="401">
        <v>21</v>
      </c>
      <c r="W2" s="401">
        <v>22</v>
      </c>
      <c r="X2" s="401">
        <v>23</v>
      </c>
      <c r="Y2" s="401">
        <v>24</v>
      </c>
      <c r="Z2" s="402">
        <v>24.5</v>
      </c>
      <c r="AA2" s="401">
        <v>25</v>
      </c>
      <c r="AB2" s="401">
        <v>26</v>
      </c>
      <c r="AC2" s="401">
        <v>27</v>
      </c>
      <c r="AD2" s="401">
        <v>28</v>
      </c>
      <c r="AE2" s="401">
        <v>29</v>
      </c>
      <c r="AF2" s="401">
        <v>30</v>
      </c>
      <c r="AG2" s="401">
        <v>31</v>
      </c>
      <c r="AH2" s="401">
        <v>32</v>
      </c>
      <c r="AI2" s="401">
        <v>33</v>
      </c>
      <c r="AJ2" s="401">
        <v>34</v>
      </c>
      <c r="AK2" s="401">
        <v>35</v>
      </c>
      <c r="AL2" s="401">
        <v>36</v>
      </c>
      <c r="AM2" s="401">
        <v>37</v>
      </c>
      <c r="AN2" s="401">
        <v>38</v>
      </c>
      <c r="AO2" s="401">
        <v>39</v>
      </c>
      <c r="AP2" s="401">
        <v>40</v>
      </c>
      <c r="AQ2" s="401">
        <v>41</v>
      </c>
      <c r="AR2" s="401">
        <v>42</v>
      </c>
      <c r="AS2" s="401">
        <v>43</v>
      </c>
      <c r="AT2" s="401">
        <v>44</v>
      </c>
      <c r="AU2" s="401">
        <v>45</v>
      </c>
      <c r="AV2" s="401">
        <v>46</v>
      </c>
      <c r="AW2" s="401">
        <v>47</v>
      </c>
      <c r="AX2" s="401">
        <v>48</v>
      </c>
      <c r="AY2" s="401">
        <v>49</v>
      </c>
      <c r="AZ2" s="401">
        <v>50</v>
      </c>
      <c r="BA2" s="401">
        <v>51</v>
      </c>
      <c r="BB2" s="401">
        <v>52</v>
      </c>
      <c r="BC2" s="401">
        <v>53</v>
      </c>
      <c r="BD2" s="401">
        <v>54</v>
      </c>
      <c r="BE2" s="401">
        <v>55</v>
      </c>
      <c r="BF2" s="401">
        <v>56</v>
      </c>
    </row>
    <row r="3" spans="2:58" ht="12.75">
      <c r="B3" s="403">
        <v>29</v>
      </c>
      <c r="C3" s="403">
        <v>28</v>
      </c>
      <c r="D3" s="403">
        <v>27</v>
      </c>
      <c r="E3" s="403">
        <v>26</v>
      </c>
      <c r="F3" s="403">
        <v>25</v>
      </c>
      <c r="G3" s="403">
        <v>24</v>
      </c>
      <c r="H3" s="403">
        <v>23</v>
      </c>
      <c r="I3" s="403">
        <v>22</v>
      </c>
      <c r="J3" s="403">
        <v>21</v>
      </c>
      <c r="K3" s="403">
        <v>20</v>
      </c>
      <c r="L3" s="403">
        <v>19</v>
      </c>
      <c r="M3" s="403">
        <v>18</v>
      </c>
      <c r="N3" s="403">
        <v>17</v>
      </c>
      <c r="O3" s="403">
        <v>16</v>
      </c>
      <c r="P3" s="403">
        <v>15</v>
      </c>
      <c r="Q3" s="403">
        <v>14</v>
      </c>
      <c r="R3" s="403">
        <v>13</v>
      </c>
      <c r="S3" s="403">
        <v>12</v>
      </c>
      <c r="T3" s="403">
        <v>11</v>
      </c>
      <c r="U3" s="403">
        <v>10</v>
      </c>
      <c r="V3" s="403">
        <v>9</v>
      </c>
      <c r="W3" s="403">
        <v>8</v>
      </c>
      <c r="X3" s="403">
        <v>7</v>
      </c>
      <c r="Y3" s="403">
        <v>6</v>
      </c>
      <c r="Z3" s="403">
        <v>5</v>
      </c>
      <c r="AA3" s="403">
        <v>4.5</v>
      </c>
      <c r="AB3" s="403">
        <v>4</v>
      </c>
      <c r="AC3" s="403">
        <v>3</v>
      </c>
      <c r="AD3" s="403">
        <v>2</v>
      </c>
      <c r="AE3" s="403">
        <v>1</v>
      </c>
      <c r="AG3" s="404">
        <v>1</v>
      </c>
      <c r="AH3" s="404">
        <v>2</v>
      </c>
      <c r="AI3" s="404">
        <v>3</v>
      </c>
      <c r="AJ3" s="404">
        <v>4</v>
      </c>
      <c r="AK3" s="404">
        <v>5</v>
      </c>
      <c r="AL3" s="404">
        <v>6</v>
      </c>
      <c r="AM3" s="405">
        <v>7</v>
      </c>
      <c r="AN3" s="404">
        <v>8</v>
      </c>
      <c r="AO3" s="404">
        <v>9</v>
      </c>
      <c r="AP3" s="403">
        <v>10</v>
      </c>
      <c r="AQ3" s="403">
        <v>11</v>
      </c>
      <c r="AR3" s="403">
        <v>12</v>
      </c>
      <c r="AS3" s="403">
        <v>13</v>
      </c>
      <c r="AT3" s="403">
        <v>14</v>
      </c>
      <c r="AU3" s="403">
        <v>15</v>
      </c>
      <c r="AV3" s="403">
        <v>16</v>
      </c>
      <c r="AW3" s="403">
        <v>17</v>
      </c>
      <c r="AX3" s="403">
        <v>18</v>
      </c>
      <c r="AY3" s="403">
        <v>19</v>
      </c>
      <c r="AZ3" s="403">
        <v>20</v>
      </c>
      <c r="BA3" s="403">
        <v>21</v>
      </c>
      <c r="BB3" s="403">
        <v>22</v>
      </c>
      <c r="BC3" s="403">
        <v>23</v>
      </c>
      <c r="BD3" s="403">
        <v>24</v>
      </c>
      <c r="BE3" s="403">
        <v>25</v>
      </c>
      <c r="BF3" s="403">
        <v>26</v>
      </c>
    </row>
    <row r="4" spans="26:39" ht="12.75">
      <c r="Z4" s="406"/>
      <c r="AA4" s="407"/>
      <c r="AM4" s="103"/>
    </row>
    <row r="5" spans="1:58" ht="12.75" hidden="1">
      <c r="A5" s="408" t="s">
        <v>21</v>
      </c>
      <c r="B5" s="87">
        <f aca="true" t="shared" si="0" ref="B5:AG5">SUM(B6:B12)</f>
        <v>0</v>
      </c>
      <c r="C5" s="87">
        <f t="shared" si="0"/>
        <v>0</v>
      </c>
      <c r="D5" s="87">
        <f t="shared" si="0"/>
        <v>0</v>
      </c>
      <c r="E5" s="103">
        <f t="shared" si="0"/>
        <v>0</v>
      </c>
      <c r="F5" s="103">
        <f t="shared" si="0"/>
        <v>0</v>
      </c>
      <c r="G5" s="103">
        <f t="shared" si="0"/>
        <v>0</v>
      </c>
      <c r="H5" s="103">
        <f t="shared" si="0"/>
        <v>0</v>
      </c>
      <c r="I5" s="103">
        <f t="shared" si="0"/>
        <v>0</v>
      </c>
      <c r="J5" s="103">
        <f t="shared" si="0"/>
        <v>0</v>
      </c>
      <c r="K5" s="103">
        <f t="shared" si="0"/>
        <v>0</v>
      </c>
      <c r="L5" s="103">
        <f t="shared" si="0"/>
        <v>4</v>
      </c>
      <c r="M5" s="103">
        <f t="shared" si="0"/>
        <v>0</v>
      </c>
      <c r="N5" s="103">
        <f t="shared" si="0"/>
        <v>0</v>
      </c>
      <c r="O5" s="103">
        <f t="shared" si="0"/>
        <v>0</v>
      </c>
      <c r="P5" s="103">
        <f t="shared" si="0"/>
        <v>0</v>
      </c>
      <c r="Q5" s="103">
        <f t="shared" si="0"/>
        <v>0</v>
      </c>
      <c r="R5" s="103">
        <f t="shared" si="0"/>
        <v>0</v>
      </c>
      <c r="S5" s="103">
        <f t="shared" si="0"/>
        <v>0</v>
      </c>
      <c r="T5" s="103">
        <f t="shared" si="0"/>
        <v>2</v>
      </c>
      <c r="U5" s="103">
        <f t="shared" si="0"/>
        <v>0</v>
      </c>
      <c r="V5" s="103">
        <f t="shared" si="0"/>
        <v>0</v>
      </c>
      <c r="W5" s="103">
        <f t="shared" si="0"/>
        <v>0</v>
      </c>
      <c r="X5" s="103">
        <f t="shared" si="0"/>
        <v>0</v>
      </c>
      <c r="Y5" s="103">
        <f t="shared" si="0"/>
        <v>0</v>
      </c>
      <c r="Z5" s="406">
        <f t="shared" si="0"/>
        <v>0</v>
      </c>
      <c r="AA5" s="103">
        <f t="shared" si="0"/>
        <v>0</v>
      </c>
      <c r="AB5" s="103">
        <f t="shared" si="0"/>
        <v>0</v>
      </c>
      <c r="AC5" s="103">
        <f t="shared" si="0"/>
        <v>5</v>
      </c>
      <c r="AD5" s="103">
        <f t="shared" si="0"/>
        <v>0</v>
      </c>
      <c r="AE5" s="103">
        <f t="shared" si="0"/>
        <v>0</v>
      </c>
      <c r="AF5" s="103">
        <f t="shared" si="0"/>
        <v>0</v>
      </c>
      <c r="AG5" s="103">
        <f t="shared" si="0"/>
        <v>0</v>
      </c>
      <c r="AH5" s="103">
        <f aca="true" t="shared" si="1" ref="AH5:BF5">SUM(AH6:AH12)</f>
        <v>0</v>
      </c>
      <c r="AI5" s="103">
        <f t="shared" si="1"/>
        <v>1</v>
      </c>
      <c r="AJ5" s="103">
        <f t="shared" si="1"/>
        <v>0</v>
      </c>
      <c r="AK5" s="103">
        <f t="shared" si="1"/>
        <v>0</v>
      </c>
      <c r="AL5" s="103">
        <f t="shared" si="1"/>
        <v>0</v>
      </c>
      <c r="AM5" s="103">
        <f t="shared" si="1"/>
        <v>0</v>
      </c>
      <c r="AN5" s="103">
        <f t="shared" si="1"/>
        <v>0</v>
      </c>
      <c r="AO5" s="103">
        <f t="shared" si="1"/>
        <v>0</v>
      </c>
      <c r="AP5" s="103">
        <f t="shared" si="1"/>
        <v>3</v>
      </c>
      <c r="AQ5" s="103">
        <f t="shared" si="1"/>
        <v>0</v>
      </c>
      <c r="AR5" s="103">
        <f t="shared" si="1"/>
        <v>0</v>
      </c>
      <c r="AS5" s="103">
        <f t="shared" si="1"/>
        <v>0</v>
      </c>
      <c r="AT5" s="103">
        <f t="shared" si="1"/>
        <v>0</v>
      </c>
      <c r="AU5" s="103">
        <f t="shared" si="1"/>
        <v>0</v>
      </c>
      <c r="AV5" s="103">
        <f t="shared" si="1"/>
        <v>0</v>
      </c>
      <c r="AW5" s="103">
        <f t="shared" si="1"/>
        <v>0</v>
      </c>
      <c r="AX5" s="103">
        <f t="shared" si="1"/>
        <v>0</v>
      </c>
      <c r="AY5" s="103">
        <f t="shared" si="1"/>
        <v>0</v>
      </c>
      <c r="AZ5" s="103">
        <f t="shared" si="1"/>
        <v>0</v>
      </c>
      <c r="BA5" s="103">
        <f t="shared" si="1"/>
        <v>0</v>
      </c>
      <c r="BB5" s="87">
        <f t="shared" si="1"/>
        <v>0</v>
      </c>
      <c r="BC5" s="87">
        <f t="shared" si="1"/>
        <v>0</v>
      </c>
      <c r="BD5" s="87">
        <f t="shared" si="1"/>
        <v>0</v>
      </c>
      <c r="BE5" s="87">
        <f t="shared" si="1"/>
        <v>0</v>
      </c>
      <c r="BF5" s="87">
        <f t="shared" si="1"/>
        <v>0</v>
      </c>
    </row>
    <row r="6" spans="2:58" ht="9.75" customHeight="1" thickBot="1">
      <c r="B6" s="409"/>
      <c r="C6" s="409"/>
      <c r="D6" s="409"/>
      <c r="E6" s="409"/>
      <c r="F6" s="409"/>
      <c r="G6" s="409"/>
      <c r="H6" s="409"/>
      <c r="I6" s="409"/>
      <c r="J6" s="409"/>
      <c r="K6" s="409"/>
      <c r="L6" s="409"/>
      <c r="M6" s="409"/>
      <c r="N6" s="409"/>
      <c r="O6" s="409"/>
      <c r="P6" s="409"/>
      <c r="Q6" s="409"/>
      <c r="R6" s="409"/>
      <c r="S6" s="409"/>
      <c r="T6" s="409"/>
      <c r="U6" s="409"/>
      <c r="V6" s="409"/>
      <c r="W6" s="409"/>
      <c r="X6" s="409"/>
      <c r="Y6" s="409"/>
      <c r="Z6" s="410"/>
      <c r="AA6" s="409"/>
      <c r="AB6" s="409"/>
      <c r="AC6" s="409"/>
      <c r="AD6" s="409"/>
      <c r="AE6" s="409"/>
      <c r="AF6" s="411"/>
      <c r="AG6" s="409"/>
      <c r="AH6" s="409"/>
      <c r="AI6" s="409"/>
      <c r="AJ6" s="409"/>
      <c r="AK6" s="409"/>
      <c r="AL6" s="409"/>
      <c r="AM6" s="409"/>
      <c r="AN6" s="409"/>
      <c r="AO6" s="409"/>
      <c r="AP6" s="674"/>
      <c r="AQ6" s="409"/>
      <c r="AR6" s="409"/>
      <c r="AS6" s="409"/>
      <c r="AT6" s="409"/>
      <c r="AU6" s="409"/>
      <c r="AV6" s="409"/>
      <c r="AW6" s="409"/>
      <c r="AX6" s="409"/>
      <c r="AY6" s="409"/>
      <c r="AZ6" s="409"/>
      <c r="BA6" s="412"/>
      <c r="BB6" s="413"/>
      <c r="BC6" s="413"/>
      <c r="BD6" s="413"/>
      <c r="BE6" s="413"/>
      <c r="BF6" s="413"/>
    </row>
    <row r="7" spans="1:59" ht="8.25" customHeight="1" thickBot="1">
      <c r="A7" s="414">
        <v>5.3</v>
      </c>
      <c r="B7" s="409"/>
      <c r="C7" s="409"/>
      <c r="D7" s="415"/>
      <c r="E7" s="409"/>
      <c r="F7" s="409"/>
      <c r="G7" s="409"/>
      <c r="H7" s="409"/>
      <c r="I7" s="409"/>
      <c r="J7" s="409"/>
      <c r="K7" s="409"/>
      <c r="L7" s="409"/>
      <c r="M7" s="409"/>
      <c r="N7" s="409"/>
      <c r="O7" s="409"/>
      <c r="P7" s="409"/>
      <c r="Q7" s="409"/>
      <c r="R7" s="409"/>
      <c r="S7" s="409"/>
      <c r="T7" s="416"/>
      <c r="U7" s="416"/>
      <c r="V7" s="416"/>
      <c r="W7" s="416"/>
      <c r="X7" s="416"/>
      <c r="Y7" s="416"/>
      <c r="Z7" s="417"/>
      <c r="AA7" s="416"/>
      <c r="AB7" s="416"/>
      <c r="AC7" s="416"/>
      <c r="AD7" s="416"/>
      <c r="AE7" s="416"/>
      <c r="AF7" s="418"/>
      <c r="AG7" s="416"/>
      <c r="AH7" s="416"/>
      <c r="AI7" s="416"/>
      <c r="AJ7" s="416"/>
      <c r="AK7" s="409"/>
      <c r="AL7" s="409"/>
      <c r="AM7" s="409"/>
      <c r="AN7" s="409"/>
      <c r="AO7" s="409"/>
      <c r="AP7" s="674"/>
      <c r="AQ7" s="409"/>
      <c r="AR7" s="409"/>
      <c r="AS7" s="409"/>
      <c r="AT7" s="409"/>
      <c r="AU7" s="409"/>
      <c r="AV7" s="409"/>
      <c r="AW7" s="409"/>
      <c r="AX7" s="409"/>
      <c r="AY7" s="409"/>
      <c r="AZ7" s="409"/>
      <c r="BA7" s="409"/>
      <c r="BB7" s="409"/>
      <c r="BC7" s="409"/>
      <c r="BD7" s="409"/>
      <c r="BE7" s="409"/>
      <c r="BF7" s="419"/>
      <c r="BG7" s="420">
        <v>5.79</v>
      </c>
    </row>
    <row r="8" spans="2:58" ht="8.25" customHeight="1">
      <c r="B8" s="421"/>
      <c r="C8" s="422"/>
      <c r="D8" s="422"/>
      <c r="E8" s="416"/>
      <c r="F8" s="416"/>
      <c r="G8" s="416"/>
      <c r="H8" s="416"/>
      <c r="I8" s="416"/>
      <c r="J8" s="416"/>
      <c r="K8" s="416"/>
      <c r="L8" s="416"/>
      <c r="M8" s="416"/>
      <c r="N8" s="416"/>
      <c r="O8" s="416"/>
      <c r="P8" s="416"/>
      <c r="Q8" s="416"/>
      <c r="R8" s="416"/>
      <c r="S8" s="416"/>
      <c r="T8" s="680"/>
      <c r="U8" s="416"/>
      <c r="V8" s="416"/>
      <c r="W8" s="416"/>
      <c r="X8" s="416"/>
      <c r="Y8" s="416"/>
      <c r="Z8" s="417"/>
      <c r="AA8" s="416"/>
      <c r="AB8" s="416"/>
      <c r="AC8" s="416"/>
      <c r="AD8" s="416"/>
      <c r="AE8" s="416"/>
      <c r="AF8" s="418"/>
      <c r="AG8" s="416"/>
      <c r="AH8" s="416"/>
      <c r="AI8" s="416"/>
      <c r="AJ8" s="416"/>
      <c r="AK8" s="416"/>
      <c r="AL8" s="416"/>
      <c r="AM8" s="416"/>
      <c r="AN8" s="416"/>
      <c r="AO8" s="416"/>
      <c r="AP8" s="675"/>
      <c r="AQ8" s="416"/>
      <c r="AR8" s="416"/>
      <c r="AS8" s="416"/>
      <c r="AT8" s="416"/>
      <c r="AU8" s="416"/>
      <c r="AV8" s="416"/>
      <c r="AW8" s="416"/>
      <c r="AX8" s="416"/>
      <c r="AY8" s="416"/>
      <c r="AZ8" s="416"/>
      <c r="BA8" s="416"/>
      <c r="BB8" s="416"/>
      <c r="BC8" s="416"/>
      <c r="BD8" s="416"/>
      <c r="BE8" s="416"/>
      <c r="BF8" s="423"/>
    </row>
    <row r="9" spans="1:59" ht="8.25" customHeight="1">
      <c r="A9" s="424" t="s">
        <v>324</v>
      </c>
      <c r="B9" s="425"/>
      <c r="C9" s="337"/>
      <c r="D9" s="337"/>
      <c r="E9" s="337"/>
      <c r="F9" s="337"/>
      <c r="G9" s="337"/>
      <c r="H9" s="337"/>
      <c r="I9" s="337"/>
      <c r="J9" s="337"/>
      <c r="K9" s="337"/>
      <c r="L9" s="337"/>
      <c r="M9" s="337"/>
      <c r="N9" s="337"/>
      <c r="O9" s="338"/>
      <c r="P9" s="337"/>
      <c r="Q9" s="337"/>
      <c r="R9" s="337"/>
      <c r="S9" s="677"/>
      <c r="T9" s="681"/>
      <c r="U9" s="337"/>
      <c r="V9" s="337"/>
      <c r="W9" s="337"/>
      <c r="X9" s="337"/>
      <c r="Y9" s="337"/>
      <c r="Z9" s="339"/>
      <c r="AA9" s="340"/>
      <c r="AB9" s="337"/>
      <c r="AC9" s="455"/>
      <c r="AD9" s="337"/>
      <c r="AE9" s="337"/>
      <c r="AF9" s="858"/>
      <c r="AG9" s="337"/>
      <c r="AH9" s="337"/>
      <c r="AI9" s="337"/>
      <c r="AJ9" s="337"/>
      <c r="AK9" s="337"/>
      <c r="AL9" s="337"/>
      <c r="AM9" s="337"/>
      <c r="AN9" s="337"/>
      <c r="AO9" s="337"/>
      <c r="AP9" s="671"/>
      <c r="AQ9" s="668"/>
      <c r="AR9" s="337"/>
      <c r="AS9" s="337"/>
      <c r="AT9" s="337"/>
      <c r="AU9" s="337"/>
      <c r="AV9" s="337"/>
      <c r="AW9" s="337"/>
      <c r="AX9" s="337"/>
      <c r="AY9" s="337"/>
      <c r="AZ9" s="337"/>
      <c r="BA9" s="337"/>
      <c r="BB9" s="337"/>
      <c r="BC9" s="337"/>
      <c r="BD9" s="337"/>
      <c r="BE9" s="337"/>
      <c r="BF9" s="426"/>
      <c r="BG9" s="427">
        <v>4</v>
      </c>
    </row>
    <row r="10" spans="1:59" ht="8.25" customHeight="1">
      <c r="A10" s="428" t="s">
        <v>325</v>
      </c>
      <c r="B10" s="429"/>
      <c r="C10" s="336"/>
      <c r="D10" s="336"/>
      <c r="E10" s="336"/>
      <c r="F10" s="336"/>
      <c r="G10" s="336"/>
      <c r="H10" s="336"/>
      <c r="I10" s="336"/>
      <c r="J10" s="336"/>
      <c r="K10" s="336"/>
      <c r="L10" s="336">
        <v>4</v>
      </c>
      <c r="M10" s="336"/>
      <c r="N10" s="336"/>
      <c r="O10" s="336"/>
      <c r="P10" s="336"/>
      <c r="Q10" s="336"/>
      <c r="R10" s="336"/>
      <c r="S10" s="678"/>
      <c r="T10" s="682">
        <v>2</v>
      </c>
      <c r="U10" s="336"/>
      <c r="V10" s="336"/>
      <c r="W10" s="336"/>
      <c r="X10" s="336"/>
      <c r="Y10" s="336"/>
      <c r="Z10" s="335"/>
      <c r="AA10" s="334"/>
      <c r="AB10" s="336"/>
      <c r="AC10" s="336">
        <v>5</v>
      </c>
      <c r="AD10" s="336"/>
      <c r="AE10" s="336"/>
      <c r="AF10" s="858"/>
      <c r="AG10" s="336"/>
      <c r="AH10" s="336"/>
      <c r="AI10" s="336">
        <v>1</v>
      </c>
      <c r="AJ10" s="336"/>
      <c r="AK10" s="336"/>
      <c r="AL10" s="336"/>
      <c r="AM10" s="336"/>
      <c r="AN10" s="336"/>
      <c r="AO10" s="336"/>
      <c r="AP10" s="672">
        <v>3</v>
      </c>
      <c r="AQ10" s="669"/>
      <c r="AR10" s="336"/>
      <c r="AS10" s="336"/>
      <c r="AT10" s="336"/>
      <c r="AU10" s="336"/>
      <c r="AV10" s="336"/>
      <c r="AW10" s="336"/>
      <c r="AX10" s="336"/>
      <c r="AY10" s="336"/>
      <c r="AZ10" s="336"/>
      <c r="BA10" s="336"/>
      <c r="BB10" s="336"/>
      <c r="BC10" s="336"/>
      <c r="BD10" s="336"/>
      <c r="BE10" s="336"/>
      <c r="BF10" s="430"/>
      <c r="BG10" s="427">
        <v>3</v>
      </c>
    </row>
    <row r="11" spans="1:59" ht="8.25" customHeight="1">
      <c r="A11" s="431" t="s">
        <v>326</v>
      </c>
      <c r="B11" s="432"/>
      <c r="C11" s="333"/>
      <c r="D11" s="333"/>
      <c r="E11" s="333"/>
      <c r="F11" s="333"/>
      <c r="G11" s="333"/>
      <c r="H11" s="333"/>
      <c r="I11" s="333"/>
      <c r="J11" s="333"/>
      <c r="K11" s="333"/>
      <c r="L11" s="333"/>
      <c r="M11" s="333"/>
      <c r="N11" s="333"/>
      <c r="O11" s="333"/>
      <c r="P11" s="333"/>
      <c r="Q11" s="333"/>
      <c r="R11" s="333"/>
      <c r="S11" s="679"/>
      <c r="T11" s="683"/>
      <c r="U11" s="333"/>
      <c r="V11" s="333"/>
      <c r="W11" s="333"/>
      <c r="X11" s="333"/>
      <c r="Y11" s="333"/>
      <c r="Z11" s="332"/>
      <c r="AA11" s="331"/>
      <c r="AB11" s="333"/>
      <c r="AC11" s="333"/>
      <c r="AD11" s="333"/>
      <c r="AE11" s="333"/>
      <c r="AF11" s="858"/>
      <c r="AG11" s="333"/>
      <c r="AH11" s="333"/>
      <c r="AI11" s="333"/>
      <c r="AJ11" s="333"/>
      <c r="AK11" s="333"/>
      <c r="AL11" s="333"/>
      <c r="AM11" s="333"/>
      <c r="AN11" s="333"/>
      <c r="AO11" s="333"/>
      <c r="AP11" s="673"/>
      <c r="AQ11" s="670"/>
      <c r="AR11" s="333"/>
      <c r="AS11" s="333"/>
      <c r="AT11" s="333"/>
      <c r="AU11" s="333"/>
      <c r="AV11" s="333"/>
      <c r="AW11" s="333"/>
      <c r="AX11" s="333"/>
      <c r="AY11" s="333"/>
      <c r="AZ11" s="333"/>
      <c r="BA11" s="333"/>
      <c r="BB11" s="333"/>
      <c r="BC11" s="333"/>
      <c r="BD11" s="333"/>
      <c r="BE11" s="333"/>
      <c r="BF11" s="433"/>
      <c r="BG11" s="427">
        <v>2</v>
      </c>
    </row>
    <row r="12" spans="2:58" ht="8.25" customHeight="1" thickBot="1">
      <c r="B12" s="434"/>
      <c r="C12" s="435"/>
      <c r="D12" s="435"/>
      <c r="E12" s="435"/>
      <c r="F12" s="435"/>
      <c r="G12" s="435"/>
      <c r="H12" s="435"/>
      <c r="I12" s="435"/>
      <c r="J12" s="435"/>
      <c r="K12" s="435"/>
      <c r="L12" s="435"/>
      <c r="M12" s="435"/>
      <c r="N12" s="435"/>
      <c r="O12" s="435"/>
      <c r="P12" s="435"/>
      <c r="Q12" s="435"/>
      <c r="R12" s="435"/>
      <c r="S12" s="435"/>
      <c r="T12" s="684"/>
      <c r="U12" s="435"/>
      <c r="V12" s="435"/>
      <c r="W12" s="435"/>
      <c r="X12" s="435"/>
      <c r="Y12" s="435"/>
      <c r="Z12" s="436"/>
      <c r="AA12" s="435"/>
      <c r="AB12" s="435"/>
      <c r="AC12" s="435"/>
      <c r="AD12" s="435"/>
      <c r="AE12" s="435"/>
      <c r="AF12" s="437"/>
      <c r="AG12" s="435"/>
      <c r="AH12" s="435"/>
      <c r="AI12" s="435"/>
      <c r="AJ12" s="435"/>
      <c r="AK12" s="435"/>
      <c r="AL12" s="435"/>
      <c r="AM12" s="435"/>
      <c r="AN12" s="435"/>
      <c r="AO12" s="435"/>
      <c r="AP12" s="676"/>
      <c r="AQ12" s="435"/>
      <c r="AR12" s="435"/>
      <c r="AS12" s="435"/>
      <c r="AT12" s="435"/>
      <c r="AU12" s="435"/>
      <c r="AV12" s="435"/>
      <c r="AW12" s="435"/>
      <c r="AX12" s="435"/>
      <c r="AY12" s="435"/>
      <c r="AZ12" s="435"/>
      <c r="BA12" s="435"/>
      <c r="BB12" s="435"/>
      <c r="BC12" s="435"/>
      <c r="BD12" s="435"/>
      <c r="BE12" s="435"/>
      <c r="BF12" s="438"/>
    </row>
    <row r="13" spans="1:59" ht="12.75">
      <c r="A13" s="389" t="s">
        <v>74</v>
      </c>
      <c r="B13" s="101">
        <v>0</v>
      </c>
      <c r="C13" s="101">
        <v>-23.5</v>
      </c>
      <c r="D13" s="101">
        <v>-22.5</v>
      </c>
      <c r="E13" s="101">
        <v>-21.5</v>
      </c>
      <c r="F13" s="101">
        <v>-20.5</v>
      </c>
      <c r="G13" s="101">
        <v>-19.5</v>
      </c>
      <c r="H13" s="101">
        <v>-18.5</v>
      </c>
      <c r="I13" s="101">
        <v>-17.5</v>
      </c>
      <c r="J13" s="101">
        <v>-16.5</v>
      </c>
      <c r="K13" s="101">
        <v>-15.5</v>
      </c>
      <c r="L13" s="101">
        <v>-14.5</v>
      </c>
      <c r="M13" s="101">
        <v>-13.5</v>
      </c>
      <c r="N13" s="101">
        <v>-12.5</v>
      </c>
      <c r="O13" s="101">
        <v>-11.5</v>
      </c>
      <c r="P13" s="101">
        <v>-10.5</v>
      </c>
      <c r="Q13" s="101">
        <v>-9.5</v>
      </c>
      <c r="R13" s="101">
        <v>-8.5</v>
      </c>
      <c r="S13" s="101">
        <v>-7.5</v>
      </c>
      <c r="T13" s="101">
        <v>-6.5</v>
      </c>
      <c r="U13" s="101">
        <v>-5.5</v>
      </c>
      <c r="V13" s="101">
        <v>-4.5</v>
      </c>
      <c r="W13" s="101">
        <v>-3.5</v>
      </c>
      <c r="X13" s="101">
        <v>-2.5</v>
      </c>
      <c r="Y13" s="101">
        <v>-1.5</v>
      </c>
      <c r="Z13" s="273">
        <v>-0.5</v>
      </c>
      <c r="AA13" s="101">
        <v>0.5</v>
      </c>
      <c r="AB13" s="101">
        <v>1.5</v>
      </c>
      <c r="AC13" s="101">
        <v>2.44</v>
      </c>
      <c r="AD13" s="101">
        <v>3.5</v>
      </c>
      <c r="AE13" s="101">
        <v>4.5</v>
      </c>
      <c r="AF13" s="101">
        <v>5.5</v>
      </c>
      <c r="AG13" s="101">
        <v>6.5</v>
      </c>
      <c r="AH13" s="101">
        <v>7.5</v>
      </c>
      <c r="AI13" s="101">
        <v>8.5</v>
      </c>
      <c r="AJ13" s="101">
        <v>9.5</v>
      </c>
      <c r="AK13" s="101">
        <v>10.5</v>
      </c>
      <c r="AL13" s="101">
        <v>11.5</v>
      </c>
      <c r="AM13" s="102">
        <v>12.5</v>
      </c>
      <c r="AN13" s="101">
        <v>13.5</v>
      </c>
      <c r="AO13" s="101">
        <v>14.5</v>
      </c>
      <c r="AP13" s="101">
        <v>15.5</v>
      </c>
      <c r="AQ13" s="101">
        <v>16.5</v>
      </c>
      <c r="AR13" s="101">
        <v>17.5</v>
      </c>
      <c r="AS13" s="101">
        <v>18.5</v>
      </c>
      <c r="AT13" s="101">
        <v>19.5</v>
      </c>
      <c r="AU13" s="101">
        <v>20.5</v>
      </c>
      <c r="AV13" s="101">
        <v>21.5</v>
      </c>
      <c r="AW13" s="101">
        <v>22.5</v>
      </c>
      <c r="AX13" s="101">
        <v>23.5</v>
      </c>
      <c r="AY13" s="101">
        <v>24.5</v>
      </c>
      <c r="AZ13" s="101">
        <v>25.5</v>
      </c>
      <c r="BA13" s="101">
        <v>26.5</v>
      </c>
      <c r="BB13" s="101">
        <v>27.5</v>
      </c>
      <c r="BC13" s="101">
        <v>28.5</v>
      </c>
      <c r="BD13" s="101">
        <v>29.5</v>
      </c>
      <c r="BE13" s="101">
        <v>30.5</v>
      </c>
      <c r="BF13" s="101"/>
      <c r="BG13" s="439" t="s">
        <v>101</v>
      </c>
    </row>
    <row r="14" spans="1:40" ht="15" customHeight="1">
      <c r="A14" s="667" t="s">
        <v>457</v>
      </c>
      <c r="C14" s="666"/>
      <c r="Y14" s="920"/>
      <c r="Z14" s="921"/>
      <c r="AA14" s="921"/>
      <c r="AB14" s="922"/>
      <c r="AM14" s="440"/>
      <c r="AN14" s="440"/>
    </row>
    <row r="15" spans="10:60" ht="41.25" customHeight="1">
      <c r="J15" s="932"/>
      <c r="K15" s="932"/>
      <c r="L15" s="932"/>
      <c r="M15" s="932"/>
      <c r="N15" s="932"/>
      <c r="AJ15" s="665"/>
      <c r="AK15" s="665"/>
      <c r="AL15" s="665"/>
      <c r="AM15" s="665"/>
      <c r="AN15" s="665"/>
      <c r="AO15" s="665"/>
      <c r="AP15" s="665"/>
      <c r="AQ15" s="665"/>
      <c r="AR15" s="665"/>
      <c r="AS15" s="665"/>
      <c r="AT15" s="665"/>
      <c r="AU15" s="665"/>
      <c r="AV15" s="665"/>
      <c r="AW15" s="665"/>
      <c r="AX15" s="665"/>
      <c r="AY15" s="665"/>
      <c r="AZ15" s="665"/>
      <c r="BG15" s="87" t="s">
        <v>175</v>
      </c>
      <c r="BH15" s="441">
        <v>74</v>
      </c>
    </row>
    <row r="16" spans="1:61" ht="12.75">
      <c r="A16" s="442" t="s">
        <v>170</v>
      </c>
      <c r="B16" s="925" t="s">
        <v>21</v>
      </c>
      <c r="C16" s="925"/>
      <c r="D16" s="925"/>
      <c r="E16" s="925"/>
      <c r="F16" s="925"/>
      <c r="G16" s="925"/>
      <c r="H16" s="925"/>
      <c r="I16" s="925" t="s">
        <v>23</v>
      </c>
      <c r="J16" s="925"/>
      <c r="K16" s="925"/>
      <c r="L16" s="925"/>
      <c r="M16" s="925"/>
      <c r="N16" s="925"/>
      <c r="O16" s="925"/>
      <c r="P16" s="925" t="s">
        <v>171</v>
      </c>
      <c r="Q16" s="925"/>
      <c r="R16" s="925"/>
      <c r="S16" s="925"/>
      <c r="T16" s="925"/>
      <c r="U16" s="925"/>
      <c r="V16" s="925"/>
      <c r="W16" s="925" t="s">
        <v>22</v>
      </c>
      <c r="X16" s="925"/>
      <c r="Y16" s="925"/>
      <c r="Z16" s="925"/>
      <c r="AA16" s="925"/>
      <c r="AB16" s="925"/>
      <c r="AC16" s="925"/>
      <c r="AJ16" s="886" t="s">
        <v>298</v>
      </c>
      <c r="AK16" s="886"/>
      <c r="AL16" s="886"/>
      <c r="AM16" s="886"/>
      <c r="AN16" s="886"/>
      <c r="AO16" s="886"/>
      <c r="AP16" s="886"/>
      <c r="AQ16" s="886"/>
      <c r="AR16" s="886"/>
      <c r="AS16" s="886"/>
      <c r="AT16" s="886"/>
      <c r="AU16" s="886"/>
      <c r="AV16" s="886"/>
      <c r="AW16" s="886"/>
      <c r="AX16" s="886"/>
      <c r="BG16" s="87" t="s">
        <v>176</v>
      </c>
      <c r="BH16" s="443">
        <f>110+14</f>
        <v>124</v>
      </c>
      <c r="BI16" s="396">
        <f>BH17*BH16</f>
        <v>74</v>
      </c>
    </row>
    <row r="17" spans="1:60" ht="12.75">
      <c r="A17" s="88">
        <v>1</v>
      </c>
      <c r="B17" s="923">
        <f>HLOOKUP(A17,$B$5:$BF$13,9,FALSE)</f>
        <v>8.5</v>
      </c>
      <c r="C17" s="923"/>
      <c r="D17" s="923"/>
      <c r="E17" s="923"/>
      <c r="F17" s="923"/>
      <c r="G17" s="923"/>
      <c r="H17" s="923"/>
      <c r="I17" s="924">
        <v>605</v>
      </c>
      <c r="J17" s="924"/>
      <c r="K17" s="924"/>
      <c r="L17" s="924"/>
      <c r="M17" s="924"/>
      <c r="N17" s="924"/>
      <c r="O17" s="924"/>
      <c r="P17" s="923">
        <f>B17*I17</f>
        <v>5142.5</v>
      </c>
      <c r="Q17" s="923"/>
      <c r="R17" s="923"/>
      <c r="S17" s="923"/>
      <c r="T17" s="923"/>
      <c r="U17" s="923"/>
      <c r="V17" s="923"/>
      <c r="W17" s="931">
        <v>3.5</v>
      </c>
      <c r="X17" s="931"/>
      <c r="Y17" s="931"/>
      <c r="Z17" s="931"/>
      <c r="AA17" s="931"/>
      <c r="AB17" s="931"/>
      <c r="AC17" s="931"/>
      <c r="AD17" s="92"/>
      <c r="AE17" s="92"/>
      <c r="AF17" s="92"/>
      <c r="AG17" s="92" t="s">
        <v>112</v>
      </c>
      <c r="AH17" s="92"/>
      <c r="AI17" s="92"/>
      <c r="AJ17" s="901">
        <f>Stability!H38</f>
        <v>5.617103698041096</v>
      </c>
      <c r="AK17" s="902"/>
      <c r="AL17" s="902"/>
      <c r="AM17" s="903"/>
      <c r="AN17" s="92"/>
      <c r="AO17" s="92"/>
      <c r="AP17" s="92"/>
      <c r="AQ17" s="92"/>
      <c r="AR17" s="92"/>
      <c r="AS17" s="444" t="s">
        <v>36</v>
      </c>
      <c r="AU17" s="901">
        <f>Stability!G32</f>
        <v>-0.0038484983496905835</v>
      </c>
      <c r="AV17" s="902"/>
      <c r="AW17" s="902"/>
      <c r="AX17" s="903"/>
      <c r="BG17" s="87" t="s">
        <v>177</v>
      </c>
      <c r="BH17" s="441">
        <f>BH15/BH16</f>
        <v>0.5967741935483871</v>
      </c>
    </row>
    <row r="18" spans="1:60" ht="12.75">
      <c r="A18" s="88">
        <v>2</v>
      </c>
      <c r="B18" s="923">
        <f>HLOOKUP(A18,$B$5:$BF$13,9,FALSE)</f>
        <v>-6.5</v>
      </c>
      <c r="C18" s="923"/>
      <c r="D18" s="923"/>
      <c r="E18" s="923"/>
      <c r="F18" s="923"/>
      <c r="G18" s="923"/>
      <c r="H18" s="923"/>
      <c r="I18" s="924">
        <v>582</v>
      </c>
      <c r="J18" s="924"/>
      <c r="K18" s="924"/>
      <c r="L18" s="924"/>
      <c r="M18" s="924"/>
      <c r="N18" s="924"/>
      <c r="O18" s="924"/>
      <c r="P18" s="923">
        <f>B18*I18</f>
        <v>-3783</v>
      </c>
      <c r="Q18" s="923"/>
      <c r="R18" s="923"/>
      <c r="S18" s="923"/>
      <c r="T18" s="923"/>
      <c r="U18" s="923"/>
      <c r="V18" s="923"/>
      <c r="W18" s="931">
        <v>4</v>
      </c>
      <c r="X18" s="931"/>
      <c r="Y18" s="931"/>
      <c r="Z18" s="931"/>
      <c r="AA18" s="931"/>
      <c r="AB18" s="931"/>
      <c r="AC18" s="931"/>
      <c r="AD18" s="89"/>
      <c r="AE18" s="89"/>
      <c r="AF18" s="89"/>
      <c r="AG18" s="92" t="s">
        <v>74</v>
      </c>
      <c r="AH18" s="89"/>
      <c r="AI18" s="89"/>
      <c r="AJ18" s="901">
        <f>Stability!H39</f>
        <v>5.613423469717978</v>
      </c>
      <c r="AK18" s="902"/>
      <c r="AL18" s="902"/>
      <c r="AM18" s="903"/>
      <c r="AN18" s="89"/>
      <c r="AO18" s="89"/>
      <c r="AP18" s="89"/>
      <c r="AQ18" s="89"/>
      <c r="AR18" s="89"/>
      <c r="AU18" s="887"/>
      <c r="AV18" s="887"/>
      <c r="AW18" s="887"/>
      <c r="AX18" s="887"/>
      <c r="AY18" s="887"/>
      <c r="AZ18" s="887"/>
      <c r="BA18" s="887"/>
      <c r="BB18" s="887"/>
      <c r="BC18" s="887"/>
      <c r="BG18" s="87" t="s">
        <v>178</v>
      </c>
      <c r="BH18" s="396">
        <f>BH15/2</f>
        <v>37</v>
      </c>
    </row>
    <row r="19" spans="1:61" ht="12.75">
      <c r="A19" s="88">
        <v>3</v>
      </c>
      <c r="B19" s="933">
        <f>HLOOKUP(A19,$B$5:$BF$13,9,FALSE)</f>
        <v>15.5</v>
      </c>
      <c r="C19" s="933"/>
      <c r="D19" s="933"/>
      <c r="E19" s="933"/>
      <c r="F19" s="933"/>
      <c r="G19" s="933"/>
      <c r="H19" s="933"/>
      <c r="I19" s="924">
        <v>620</v>
      </c>
      <c r="J19" s="924"/>
      <c r="K19" s="924"/>
      <c r="L19" s="924"/>
      <c r="M19" s="924"/>
      <c r="N19" s="924"/>
      <c r="O19" s="924"/>
      <c r="P19" s="933">
        <f>B19*I19</f>
        <v>9610</v>
      </c>
      <c r="Q19" s="933"/>
      <c r="R19" s="933"/>
      <c r="S19" s="933"/>
      <c r="T19" s="933"/>
      <c r="U19" s="933"/>
      <c r="V19" s="933"/>
      <c r="W19" s="931">
        <v>4.2</v>
      </c>
      <c r="X19" s="931"/>
      <c r="Y19" s="931"/>
      <c r="Z19" s="931"/>
      <c r="AA19" s="931"/>
      <c r="AB19" s="931"/>
      <c r="AC19" s="931"/>
      <c r="AD19" s="89"/>
      <c r="AE19" s="89"/>
      <c r="AF19" s="89"/>
      <c r="AG19" s="457" t="s">
        <v>333</v>
      </c>
      <c r="AH19" s="89"/>
      <c r="AI19" s="89"/>
      <c r="AJ19" s="904">
        <f>'Ballast &amp; Consumb'!D60</f>
        <v>5.615109411764713</v>
      </c>
      <c r="AK19" s="905"/>
      <c r="AL19" s="905"/>
      <c r="AM19" s="885"/>
      <c r="AN19" s="89"/>
      <c r="AO19" s="937">
        <f>(AJ18+AJ17)/2</f>
        <v>5.615263583879537</v>
      </c>
      <c r="AP19" s="937"/>
      <c r="AQ19" s="937"/>
      <c r="AR19" s="937"/>
      <c r="BG19" s="87" t="s">
        <v>179</v>
      </c>
      <c r="BH19" s="87">
        <f>BH16/2</f>
        <v>62</v>
      </c>
      <c r="BI19" s="445">
        <f>BH19-53</f>
        <v>9</v>
      </c>
    </row>
    <row r="20" spans="1:61" ht="12.75">
      <c r="A20" s="88">
        <v>4</v>
      </c>
      <c r="B20" s="933">
        <f>HLOOKUP(A20,$B$5:$BF$13,9,FALSE)</f>
        <v>-14.5</v>
      </c>
      <c r="C20" s="933"/>
      <c r="D20" s="933"/>
      <c r="E20" s="933"/>
      <c r="F20" s="933"/>
      <c r="G20" s="933"/>
      <c r="H20" s="933"/>
      <c r="I20" s="924">
        <v>575</v>
      </c>
      <c r="J20" s="924"/>
      <c r="K20" s="924"/>
      <c r="L20" s="924"/>
      <c r="M20" s="924"/>
      <c r="N20" s="924"/>
      <c r="O20" s="924"/>
      <c r="P20" s="933">
        <f>B20*I20</f>
        <v>-8337.5</v>
      </c>
      <c r="Q20" s="933"/>
      <c r="R20" s="933"/>
      <c r="S20" s="933"/>
      <c r="T20" s="933"/>
      <c r="U20" s="933"/>
      <c r="V20" s="933"/>
      <c r="W20" s="931">
        <v>3.5</v>
      </c>
      <c r="X20" s="931"/>
      <c r="Y20" s="931"/>
      <c r="Z20" s="931"/>
      <c r="AA20" s="931"/>
      <c r="AB20" s="931"/>
      <c r="AC20" s="931"/>
      <c r="AD20" s="89"/>
      <c r="AE20" s="89"/>
      <c r="AF20" s="89"/>
      <c r="AG20" s="89"/>
      <c r="AH20" s="89"/>
      <c r="AI20" s="89"/>
      <c r="AJ20" s="89"/>
      <c r="AK20" s="89"/>
      <c r="AL20" s="92" t="s">
        <v>185</v>
      </c>
      <c r="AM20" s="89"/>
      <c r="AN20" s="89"/>
      <c r="AO20" s="934">
        <f>Stability!D26</f>
        <v>3138.843</v>
      </c>
      <c r="AP20" s="935"/>
      <c r="AQ20" s="935"/>
      <c r="AR20" s="936"/>
      <c r="BG20" s="196" t="s">
        <v>180</v>
      </c>
      <c r="BH20" s="87">
        <f>114-20</f>
        <v>94</v>
      </c>
      <c r="BI20" s="396">
        <f>BH20*BH17</f>
        <v>56.09677419354839</v>
      </c>
    </row>
    <row r="21" spans="1:60" ht="12.75">
      <c r="A21" s="88">
        <v>5</v>
      </c>
      <c r="B21" s="933">
        <f>HLOOKUP(A21,$B$5:$BF$13,9,FALSE)</f>
        <v>2.44</v>
      </c>
      <c r="C21" s="933"/>
      <c r="D21" s="933"/>
      <c r="E21" s="933"/>
      <c r="F21" s="933"/>
      <c r="G21" s="933"/>
      <c r="H21" s="933"/>
      <c r="I21" s="924">
        <v>565</v>
      </c>
      <c r="J21" s="924"/>
      <c r="K21" s="924"/>
      <c r="L21" s="924"/>
      <c r="M21" s="924"/>
      <c r="N21" s="924"/>
      <c r="O21" s="924"/>
      <c r="P21" s="933">
        <f>B21*I21</f>
        <v>1378.6</v>
      </c>
      <c r="Q21" s="933"/>
      <c r="R21" s="933"/>
      <c r="S21" s="933"/>
      <c r="T21" s="933"/>
      <c r="U21" s="933"/>
      <c r="V21" s="933"/>
      <c r="W21" s="931">
        <v>4.2</v>
      </c>
      <c r="X21" s="931"/>
      <c r="Y21" s="931"/>
      <c r="Z21" s="931"/>
      <c r="AA21" s="931"/>
      <c r="AB21" s="931"/>
      <c r="AC21" s="931"/>
      <c r="BG21" s="196" t="s">
        <v>181</v>
      </c>
      <c r="BH21" s="396">
        <f>21*BH17</f>
        <v>12.53225806451613</v>
      </c>
    </row>
    <row r="22" spans="1:61" ht="12.75">
      <c r="A22" s="446" t="s">
        <v>172</v>
      </c>
      <c r="B22" s="923"/>
      <c r="C22" s="923"/>
      <c r="D22" s="923"/>
      <c r="E22" s="923"/>
      <c r="F22" s="923"/>
      <c r="G22" s="923"/>
      <c r="H22" s="923"/>
      <c r="I22" s="928">
        <f>SUM(I17:O21)</f>
        <v>2947</v>
      </c>
      <c r="J22" s="929"/>
      <c r="K22" s="929"/>
      <c r="L22" s="929"/>
      <c r="M22" s="929"/>
      <c r="N22" s="929"/>
      <c r="O22" s="930"/>
      <c r="P22" s="923">
        <f>SUM(P17:V21)</f>
        <v>4010.6</v>
      </c>
      <c r="Q22" s="923"/>
      <c r="R22" s="923"/>
      <c r="S22" s="923"/>
      <c r="T22" s="923"/>
      <c r="U22" s="923"/>
      <c r="V22" s="923"/>
      <c r="W22" s="89"/>
      <c r="X22" s="89"/>
      <c r="Y22" s="89"/>
      <c r="Z22" s="89"/>
      <c r="AA22" s="89"/>
      <c r="AB22" s="884" t="str">
        <f>IF(AO20&gt;3220.3,"Summer Deadweight OVERLOADED !!!","Summer draft not exeeded")</f>
        <v>Summer draft not exeeded</v>
      </c>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4"/>
      <c r="AY22" s="884"/>
      <c r="AZ22" s="884"/>
      <c r="BA22" s="884"/>
      <c r="BB22" s="884"/>
      <c r="BC22" s="884"/>
      <c r="BD22" s="884"/>
      <c r="BG22" s="87" t="s">
        <v>182</v>
      </c>
      <c r="BH22" s="87">
        <f>74-10*BH17</f>
        <v>68.03225806451613</v>
      </c>
      <c r="BI22" s="87">
        <f>BH22-BH21</f>
        <v>55.5</v>
      </c>
    </row>
    <row r="23" spans="22:61" ht="12.75">
      <c r="V23" s="447"/>
      <c r="BG23" s="87" t="s">
        <v>102</v>
      </c>
      <c r="BH23" s="396">
        <f>(62-21)*BH17</f>
        <v>24.467741935483872</v>
      </c>
      <c r="BI23" s="87">
        <f>BH23+BH21</f>
        <v>37</v>
      </c>
    </row>
    <row r="24" spans="1:61" ht="12.75">
      <c r="A24" s="927" t="s">
        <v>173</v>
      </c>
      <c r="B24" s="927"/>
      <c r="C24" s="927"/>
      <c r="D24" s="927"/>
      <c r="E24" s="927"/>
      <c r="F24" s="927"/>
      <c r="N24" s="448"/>
      <c r="O24" s="448"/>
      <c r="BG24" s="87" t="s">
        <v>184</v>
      </c>
      <c r="BH24" s="87">
        <f>57+14-21</f>
        <v>50</v>
      </c>
      <c r="BI24" s="87">
        <f>BH24*BH17</f>
        <v>29.838709677419356</v>
      </c>
    </row>
    <row r="25" spans="1:32" ht="12.75">
      <c r="A25" s="449">
        <f>P22/I22</f>
        <v>1.3609093993892094</v>
      </c>
      <c r="B25" s="450"/>
      <c r="C25" s="450"/>
      <c r="D25" s="451" t="e">
        <f>S22/L22</f>
        <v>#DIV/0!</v>
      </c>
      <c r="E25" s="450"/>
      <c r="F25" s="452"/>
      <c r="G25" s="452"/>
      <c r="L25" s="448"/>
      <c r="V25" s="888"/>
      <c r="W25" s="888"/>
      <c r="X25" s="888"/>
      <c r="Y25" s="888"/>
      <c r="Z25" s="888"/>
      <c r="AA25" s="888"/>
      <c r="AB25" s="888"/>
      <c r="AC25" s="888"/>
      <c r="AD25" s="888"/>
      <c r="AE25" s="888"/>
      <c r="AF25" s="888"/>
    </row>
    <row r="26" ht="12.75"/>
    <row r="27" ht="12.75">
      <c r="H27" s="87">
        <v>1</v>
      </c>
    </row>
    <row r="28" spans="1:8" ht="12.75">
      <c r="A28" s="453">
        <f>(I17*W17+I18*W18+I19*W19+I20*W20+I21*W21)/I22</f>
        <v>3.880217170003393</v>
      </c>
      <c r="B28" s="447" t="s">
        <v>327</v>
      </c>
      <c r="D28" s="454"/>
      <c r="E28" s="454"/>
      <c r="F28" s="454"/>
      <c r="G28" s="454"/>
      <c r="H28" s="452"/>
    </row>
  </sheetData>
  <mergeCells count="41">
    <mergeCell ref="AU18:BC18"/>
    <mergeCell ref="V25:AF25"/>
    <mergeCell ref="AB22:BD22"/>
    <mergeCell ref="W19:AC19"/>
    <mergeCell ref="P22:V22"/>
    <mergeCell ref="W20:AC20"/>
    <mergeCell ref="AO19:AR19"/>
    <mergeCell ref="P19:V19"/>
    <mergeCell ref="P20:V20"/>
    <mergeCell ref="W18:AC18"/>
    <mergeCell ref="AU17:AX17"/>
    <mergeCell ref="W16:AC16"/>
    <mergeCell ref="W17:AC17"/>
    <mergeCell ref="AJ17:AM17"/>
    <mergeCell ref="AJ16:AX16"/>
    <mergeCell ref="AO20:AR20"/>
    <mergeCell ref="AJ18:AM18"/>
    <mergeCell ref="AJ19:AM19"/>
    <mergeCell ref="B19:H19"/>
    <mergeCell ref="I19:O19"/>
    <mergeCell ref="B20:H20"/>
    <mergeCell ref="I20:O20"/>
    <mergeCell ref="I18:O18"/>
    <mergeCell ref="P18:V18"/>
    <mergeCell ref="M1:AO1"/>
    <mergeCell ref="A24:F24"/>
    <mergeCell ref="B22:H22"/>
    <mergeCell ref="I22:O22"/>
    <mergeCell ref="W21:AC21"/>
    <mergeCell ref="J15:N15"/>
    <mergeCell ref="B21:H21"/>
    <mergeCell ref="I21:O21"/>
    <mergeCell ref="P21:V21"/>
    <mergeCell ref="B18:H18"/>
    <mergeCell ref="Y14:AB14"/>
    <mergeCell ref="B17:H17"/>
    <mergeCell ref="I17:O17"/>
    <mergeCell ref="P17:V17"/>
    <mergeCell ref="P16:V16"/>
    <mergeCell ref="B16:H16"/>
    <mergeCell ref="I16:O16"/>
  </mergeCells>
  <conditionalFormatting sqref="B22:H22 AJ19:AK20 B17:H18 I17:O21 P17:V18 W17:W21 X17:AI20">
    <cfRule type="cellIs" priority="1" dxfId="3" operator="equal" stopIfTrue="1">
      <formula>0</formula>
    </cfRule>
  </conditionalFormatting>
  <conditionalFormatting sqref="AO20">
    <cfRule type="cellIs" priority="2" dxfId="0" operator="equal" stopIfTrue="1">
      <formula>3220</formula>
    </cfRule>
    <cfRule type="cellIs" priority="3" dxfId="4" operator="greaterThan" stopIfTrue="1">
      <formula>3220</formula>
    </cfRule>
  </conditionalFormatting>
  <conditionalFormatting sqref="B19:H21 P19:V21">
    <cfRule type="cellIs" priority="4" dxfId="5" operator="equal" stopIfTrue="1">
      <formula>0</formula>
    </cfRule>
  </conditionalFormatting>
  <conditionalFormatting sqref="AB22:BD22">
    <cfRule type="cellIs" priority="5" dxfId="0" operator="notEqual" stopIfTrue="1">
      <formula>"Summer draft not exeeded"</formula>
    </cfRule>
    <cfRule type="cellIs" priority="6" dxfId="6" operator="equal" stopIfTrue="1">
      <formula>"Winter draft not exeeded"</formula>
    </cfRule>
  </conditionalFormatting>
  <printOptions/>
  <pageMargins left="0.75" right="0.75" top="1" bottom="1" header="0.5" footer="0.5"/>
  <pageSetup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I48"/>
  <sheetViews>
    <sheetView workbookViewId="0" topLeftCell="A1">
      <selection activeCell="A1" sqref="A1:A2"/>
    </sheetView>
  </sheetViews>
  <sheetFormatPr defaultColWidth="9.140625" defaultRowHeight="12.75"/>
  <cols>
    <col min="1" max="1" width="17.57421875" style="0" customWidth="1"/>
    <col min="2" max="2" width="6.421875" style="2" customWidth="1"/>
    <col min="3" max="3" width="9.140625" style="2" customWidth="1"/>
    <col min="4" max="4" width="9.57421875" style="2" customWidth="1"/>
    <col min="5" max="5" width="9.140625" style="2" customWidth="1"/>
    <col min="6" max="6" width="9.421875" style="2" customWidth="1"/>
    <col min="7" max="7" width="10.57421875" style="2" bestFit="1" customWidth="1"/>
    <col min="8" max="9" width="9.140625" style="2" customWidth="1"/>
  </cols>
  <sheetData>
    <row r="1" spans="1:9" ht="12.75">
      <c r="A1" s="1" t="s">
        <v>568</v>
      </c>
      <c r="B1" s="2" t="s">
        <v>54</v>
      </c>
      <c r="C1" s="80"/>
      <c r="D1" s="65" t="s">
        <v>299</v>
      </c>
      <c r="E1" s="80" t="str">
        <f>'Ballast &amp; Consumb'!D75</f>
        <v>Ronnskar</v>
      </c>
      <c r="F1" s="80"/>
      <c r="H1" s="2" t="s">
        <v>300</v>
      </c>
      <c r="I1" s="274">
        <v>36776</v>
      </c>
    </row>
    <row r="2" spans="4:5" ht="12.75">
      <c r="D2" s="57" t="s">
        <v>332</v>
      </c>
      <c r="E2" s="650" t="str">
        <f>'Ballast &amp; Consumb'!D77</f>
        <v>zinc cocentrate</v>
      </c>
    </row>
    <row r="3" spans="1:9" ht="13.5" thickBot="1">
      <c r="A3" s="11" t="s">
        <v>0</v>
      </c>
      <c r="B3" s="11" t="s">
        <v>19</v>
      </c>
      <c r="C3" s="11" t="s">
        <v>20</v>
      </c>
      <c r="D3" s="11" t="s">
        <v>23</v>
      </c>
      <c r="E3" s="11" t="s">
        <v>21</v>
      </c>
      <c r="F3" s="11" t="s">
        <v>24</v>
      </c>
      <c r="G3" s="11" t="s">
        <v>22</v>
      </c>
      <c r="H3" s="11" t="s">
        <v>25</v>
      </c>
      <c r="I3" s="11" t="s">
        <v>26</v>
      </c>
    </row>
    <row r="4" spans="1:9" ht="13.5" thickTop="1">
      <c r="A4" s="9" t="s">
        <v>1</v>
      </c>
      <c r="B4" s="10" t="s">
        <v>42</v>
      </c>
      <c r="C4" s="10">
        <f>'Ballast &amp; Consumb'!D6</f>
        <v>0.2</v>
      </c>
      <c r="D4" s="10">
        <f>'Ballast &amp; Consumb'!E6</f>
        <v>0.2</v>
      </c>
      <c r="E4" s="10">
        <v>33.5</v>
      </c>
      <c r="F4" s="10">
        <f>D4*E4</f>
        <v>6.7</v>
      </c>
      <c r="G4" s="10">
        <v>4.69</v>
      </c>
      <c r="H4" s="10">
        <f>D4*G4</f>
        <v>0.9380000000000002</v>
      </c>
      <c r="I4" s="10"/>
    </row>
    <row r="5" spans="1:9" ht="12.75">
      <c r="A5" s="5" t="s">
        <v>2</v>
      </c>
      <c r="B5" s="6" t="s">
        <v>42</v>
      </c>
      <c r="C5" s="10">
        <f>'Ballast &amp; Consumb'!D7+'Ballast &amp; Consumb'!D8</f>
        <v>6.22</v>
      </c>
      <c r="D5" s="10">
        <f>'Ballast &amp; Consumb'!E7+'Ballast &amp; Consumb'!E8</f>
        <v>6.22</v>
      </c>
      <c r="E5" s="6">
        <v>24.5</v>
      </c>
      <c r="F5" s="6">
        <f aca="true" t="shared" si="0" ref="F5:F27">D5*E5</f>
        <v>152.39</v>
      </c>
      <c r="G5" s="6">
        <v>0.63</v>
      </c>
      <c r="H5" s="6">
        <f aca="true" t="shared" si="1" ref="H5:H27">D5*G5</f>
        <v>3.9186</v>
      </c>
      <c r="I5" s="6"/>
    </row>
    <row r="6" spans="1:9" ht="12.75">
      <c r="A6" s="5" t="s">
        <v>3</v>
      </c>
      <c r="B6" s="6" t="s">
        <v>42</v>
      </c>
      <c r="C6" s="10">
        <f>'Ballast &amp; Consumb'!D9+'Ballast &amp; Consumb'!D10</f>
        <v>5.18</v>
      </c>
      <c r="D6" s="10">
        <f>'Ballast &amp; Consumb'!E9+'Ballast &amp; Consumb'!E10</f>
        <v>5.18</v>
      </c>
      <c r="E6" s="6">
        <v>15.3</v>
      </c>
      <c r="F6" s="6">
        <f t="shared" si="0"/>
        <v>79.254</v>
      </c>
      <c r="G6" s="6">
        <v>0.62</v>
      </c>
      <c r="H6" s="6">
        <f t="shared" si="1"/>
        <v>3.2116</v>
      </c>
      <c r="I6" s="6"/>
    </row>
    <row r="7" spans="1:9" ht="12.75">
      <c r="A7" s="5" t="s">
        <v>4</v>
      </c>
      <c r="B7" s="6" t="s">
        <v>42</v>
      </c>
      <c r="C7" s="10">
        <f>'Ballast &amp; Consumb'!D11</f>
        <v>7.68</v>
      </c>
      <c r="D7" s="10">
        <f>'Ballast &amp; Consumb'!E11</f>
        <v>7.68</v>
      </c>
      <c r="E7" s="6">
        <v>15.9</v>
      </c>
      <c r="F7" s="6">
        <f t="shared" si="0"/>
        <v>122.112</v>
      </c>
      <c r="G7" s="6">
        <v>0.59</v>
      </c>
      <c r="H7" s="6">
        <f t="shared" si="1"/>
        <v>4.531199999999999</v>
      </c>
      <c r="I7" s="6"/>
    </row>
    <row r="8" spans="1:9" ht="12.75">
      <c r="A8" s="5" t="s">
        <v>5</v>
      </c>
      <c r="B8" s="6" t="s">
        <v>42</v>
      </c>
      <c r="C8" s="10">
        <f>'Ballast &amp; Consumb'!D12+'Ballast &amp; Consumb'!D13</f>
        <v>15</v>
      </c>
      <c r="D8" s="10">
        <f>'Ballast &amp; Consumb'!E12+'Ballast &amp; Consumb'!E13</f>
        <v>15</v>
      </c>
      <c r="E8" s="6">
        <v>2.6</v>
      </c>
      <c r="F8" s="6">
        <f t="shared" si="0"/>
        <v>39</v>
      </c>
      <c r="G8" s="6">
        <v>0.6</v>
      </c>
      <c r="H8" s="6">
        <f t="shared" si="1"/>
        <v>9</v>
      </c>
      <c r="I8" s="6"/>
    </row>
    <row r="9" spans="1:9" ht="12.75">
      <c r="A9" s="5" t="s">
        <v>6</v>
      </c>
      <c r="B9" s="6" t="s">
        <v>469</v>
      </c>
      <c r="C9" s="6">
        <f>'Ballast &amp; Consumb'!D24</f>
        <v>14.5</v>
      </c>
      <c r="D9" s="6">
        <f>'Ballast &amp; Consumb'!E24</f>
        <v>12.325</v>
      </c>
      <c r="E9" s="6">
        <v>2.6</v>
      </c>
      <c r="F9" s="6">
        <f t="shared" si="0"/>
        <v>32.045</v>
      </c>
      <c r="G9" s="6">
        <v>0.58</v>
      </c>
      <c r="H9" s="6">
        <f t="shared" si="1"/>
        <v>7.148499999999999</v>
      </c>
      <c r="I9" s="6"/>
    </row>
    <row r="10" spans="1:9" ht="12.75">
      <c r="A10" s="5" t="s">
        <v>7</v>
      </c>
      <c r="B10" s="6" t="s">
        <v>42</v>
      </c>
      <c r="C10" s="6">
        <f>'Ballast &amp; Consumb'!D14+'Ballast &amp; Consumb'!D15</f>
        <v>4.66</v>
      </c>
      <c r="D10" s="6">
        <f>'Ballast &amp; Consumb'!E14+'Ballast &amp; Consumb'!E15</f>
        <v>4.66</v>
      </c>
      <c r="E10" s="6">
        <v>-9.3</v>
      </c>
      <c r="F10" s="6">
        <f t="shared" si="0"/>
        <v>-43.33800000000001</v>
      </c>
      <c r="G10" s="6">
        <v>0.61</v>
      </c>
      <c r="H10" s="6">
        <f t="shared" si="1"/>
        <v>2.8426</v>
      </c>
      <c r="I10" s="6"/>
    </row>
    <row r="11" spans="1:9" ht="12.75">
      <c r="A11" s="5" t="s">
        <v>8</v>
      </c>
      <c r="B11" s="6" t="s">
        <v>42</v>
      </c>
      <c r="C11" s="6">
        <f>'Ballast &amp; Consumb'!D16</f>
        <v>9.28</v>
      </c>
      <c r="D11" s="6">
        <f>'Ballast &amp; Consumb'!E16</f>
        <v>9.28</v>
      </c>
      <c r="E11" s="6">
        <v>-9.9</v>
      </c>
      <c r="F11" s="6">
        <f t="shared" si="0"/>
        <v>-91.872</v>
      </c>
      <c r="G11" s="6">
        <v>0.58</v>
      </c>
      <c r="H11" s="6">
        <f t="shared" si="1"/>
        <v>5.3824</v>
      </c>
      <c r="I11" s="6"/>
    </row>
    <row r="12" spans="1:9" ht="12.75">
      <c r="A12" s="5" t="s">
        <v>9</v>
      </c>
      <c r="B12" s="6" t="s">
        <v>42</v>
      </c>
      <c r="C12" s="6">
        <f>'Ballast &amp; Consumb'!D17+'Ballast &amp; Consumb'!D18</f>
        <v>3.3</v>
      </c>
      <c r="D12" s="6">
        <f>'Ballast &amp; Consumb'!E17+'Ballast &amp; Consumb'!E18</f>
        <v>3.3</v>
      </c>
      <c r="E12" s="6">
        <v>-17.4</v>
      </c>
      <c r="F12" s="6">
        <f t="shared" si="0"/>
        <v>-57.419999999999995</v>
      </c>
      <c r="G12" s="6">
        <v>0.63</v>
      </c>
      <c r="H12" s="6">
        <f t="shared" si="1"/>
        <v>2.0789999999999997</v>
      </c>
      <c r="I12" s="6"/>
    </row>
    <row r="13" spans="1:9" ht="12.75">
      <c r="A13" s="5" t="s">
        <v>10</v>
      </c>
      <c r="B13" s="6" t="s">
        <v>42</v>
      </c>
      <c r="C13" s="6">
        <f>'Ballast &amp; Consumb'!D19</f>
        <v>1.29</v>
      </c>
      <c r="D13" s="6">
        <f>'Ballast &amp; Consumb'!E19</f>
        <v>1.29</v>
      </c>
      <c r="E13" s="6">
        <v>-35</v>
      </c>
      <c r="F13" s="6">
        <f t="shared" si="0"/>
        <v>-45.15</v>
      </c>
      <c r="G13" s="6">
        <v>4</v>
      </c>
      <c r="H13" s="6">
        <f t="shared" si="1"/>
        <v>5.16</v>
      </c>
      <c r="I13" s="6"/>
    </row>
    <row r="14" spans="1:9" ht="12.75">
      <c r="A14" s="5" t="s">
        <v>8</v>
      </c>
      <c r="B14" s="6" t="s">
        <v>469</v>
      </c>
      <c r="C14" s="6">
        <f>'Ballast &amp; Consumb'!D26</f>
        <v>15.3</v>
      </c>
      <c r="D14" s="6">
        <f>'Ballast &amp; Consumb'!E26</f>
        <v>13.005</v>
      </c>
      <c r="E14" s="6">
        <v>-15.7</v>
      </c>
      <c r="F14" s="6">
        <f t="shared" si="0"/>
        <v>-204.1785</v>
      </c>
      <c r="G14" s="6">
        <v>0.58</v>
      </c>
      <c r="H14" s="6">
        <f t="shared" si="1"/>
        <v>7.5428999999999995</v>
      </c>
      <c r="I14" s="6">
        <v>84</v>
      </c>
    </row>
    <row r="15" spans="1:9" ht="12.75">
      <c r="A15" s="5" t="s">
        <v>11</v>
      </c>
      <c r="B15" s="6" t="s">
        <v>469</v>
      </c>
      <c r="C15" s="6">
        <f>'Ballast &amp; Consumb'!D27</f>
        <v>9</v>
      </c>
      <c r="D15" s="6">
        <f>'Ballast &amp; Consumb'!E27</f>
        <v>7.6499999999999995</v>
      </c>
      <c r="E15" s="6">
        <v>-35.2</v>
      </c>
      <c r="F15" s="6">
        <f t="shared" si="0"/>
        <v>-269.28000000000003</v>
      </c>
      <c r="G15" s="6">
        <v>6</v>
      </c>
      <c r="H15" s="6">
        <f t="shared" si="1"/>
        <v>45.9</v>
      </c>
      <c r="I15" s="6">
        <v>5</v>
      </c>
    </row>
    <row r="16" spans="1:9" ht="12.75">
      <c r="A16" s="5" t="s">
        <v>12</v>
      </c>
      <c r="B16" s="6" t="s">
        <v>469</v>
      </c>
      <c r="C16" s="6">
        <f>'Ballast &amp; Consumb'!D28</f>
        <v>3</v>
      </c>
      <c r="D16" s="6">
        <f>'Ballast &amp; Consumb'!E28</f>
        <v>2.55</v>
      </c>
      <c r="E16" s="6">
        <v>-32.8</v>
      </c>
      <c r="F16" s="6">
        <f t="shared" si="0"/>
        <v>-83.63999999999999</v>
      </c>
      <c r="G16" s="6">
        <v>6.1</v>
      </c>
      <c r="H16" s="6">
        <f t="shared" si="1"/>
        <v>15.554999999999998</v>
      </c>
      <c r="I16" s="6">
        <v>2</v>
      </c>
    </row>
    <row r="17" spans="1:9" ht="12.75">
      <c r="A17" s="5" t="s">
        <v>13</v>
      </c>
      <c r="B17" s="6" t="s">
        <v>30</v>
      </c>
      <c r="C17" s="6">
        <f>'Ballast &amp; Consumb'!D21+'Ballast &amp; Consumb'!D22</f>
        <v>12</v>
      </c>
      <c r="D17" s="6">
        <f>'Ballast &amp; Consumb'!E21+'Ballast &amp; Consumb'!E22</f>
        <v>12</v>
      </c>
      <c r="E17" s="6">
        <v>-22.1</v>
      </c>
      <c r="F17" s="6">
        <f t="shared" si="0"/>
        <v>-265.20000000000005</v>
      </c>
      <c r="G17" s="6">
        <v>0.68</v>
      </c>
      <c r="H17" s="6">
        <f t="shared" si="1"/>
        <v>8.16</v>
      </c>
      <c r="I17" s="627">
        <f>IF(Stability!D17&gt;3,(D17-3)*0.167+5,5-(3-D17)*0.167)+IF(D17=0,0)</f>
        <v>6.503</v>
      </c>
    </row>
    <row r="18" spans="1:9" ht="12.75">
      <c r="A18" s="5" t="s">
        <v>14</v>
      </c>
      <c r="B18" s="6"/>
      <c r="C18" s="6"/>
      <c r="D18" s="6"/>
      <c r="E18" s="6">
        <v>-24.3</v>
      </c>
      <c r="F18" s="6">
        <f t="shared" si="0"/>
        <v>0</v>
      </c>
      <c r="G18" s="6">
        <v>1.4</v>
      </c>
      <c r="H18" s="6">
        <f t="shared" si="1"/>
        <v>0</v>
      </c>
      <c r="I18" s="6"/>
    </row>
    <row r="19" spans="1:9" ht="12.75">
      <c r="A19" s="5" t="s">
        <v>15</v>
      </c>
      <c r="B19" s="6"/>
      <c r="C19" s="6"/>
      <c r="D19" s="6"/>
      <c r="E19" s="6">
        <v>-24.3</v>
      </c>
      <c r="F19" s="6">
        <f t="shared" si="0"/>
        <v>0</v>
      </c>
      <c r="G19" s="6">
        <v>1.4</v>
      </c>
      <c r="H19" s="6">
        <f t="shared" si="1"/>
        <v>0</v>
      </c>
      <c r="I19" s="6"/>
    </row>
    <row r="20" spans="1:9" ht="12.75">
      <c r="A20" s="5" t="s">
        <v>16</v>
      </c>
      <c r="B20" s="6"/>
      <c r="C20" s="6"/>
      <c r="D20" s="6"/>
      <c r="E20" s="6">
        <v>-35</v>
      </c>
      <c r="F20" s="6">
        <f t="shared" si="0"/>
        <v>0</v>
      </c>
      <c r="G20" s="6">
        <v>6.1</v>
      </c>
      <c r="H20" s="6">
        <f t="shared" si="1"/>
        <v>0</v>
      </c>
      <c r="I20" s="6"/>
    </row>
    <row r="21" spans="1:9" ht="12.75">
      <c r="A21" s="5" t="s">
        <v>17</v>
      </c>
      <c r="B21" s="6" t="s">
        <v>43</v>
      </c>
      <c r="C21" s="6">
        <f>'Ballast &amp; Consumb'!D30</f>
        <v>0.8</v>
      </c>
      <c r="D21" s="6">
        <f>'Ballast &amp; Consumb'!E30</f>
        <v>0.7200000000000001</v>
      </c>
      <c r="E21" s="6">
        <v>-24.9</v>
      </c>
      <c r="F21" s="6">
        <f t="shared" si="0"/>
        <v>-17.928</v>
      </c>
      <c r="G21" s="6">
        <v>5.7</v>
      </c>
      <c r="H21" s="6">
        <f t="shared" si="1"/>
        <v>4.104000000000001</v>
      </c>
      <c r="I21" s="6"/>
    </row>
    <row r="22" spans="1:9" ht="12.75">
      <c r="A22" s="5" t="s">
        <v>17</v>
      </c>
      <c r="B22" s="6" t="s">
        <v>43</v>
      </c>
      <c r="C22" s="6">
        <f>'Ballast &amp; Consumb'!D31</f>
        <v>0.87</v>
      </c>
      <c r="D22" s="6">
        <f>'Ballast &amp; Consumb'!E31</f>
        <v>0.783</v>
      </c>
      <c r="E22" s="6">
        <v>-24.9</v>
      </c>
      <c r="F22" s="6">
        <f t="shared" si="0"/>
        <v>-19.4967</v>
      </c>
      <c r="G22" s="6">
        <v>5.7</v>
      </c>
      <c r="H22" s="6">
        <f t="shared" si="1"/>
        <v>4.463100000000001</v>
      </c>
      <c r="I22" s="6"/>
    </row>
    <row r="23" spans="1:9" ht="12.75">
      <c r="A23" s="5" t="s">
        <v>18</v>
      </c>
      <c r="B23" s="6"/>
      <c r="C23" s="6"/>
      <c r="D23" s="6">
        <f>Initial!E14</f>
        <v>2947</v>
      </c>
      <c r="E23" s="628">
        <f>'stowage '!A25</f>
        <v>1.3609093993892094</v>
      </c>
      <c r="F23" s="6">
        <f t="shared" si="0"/>
        <v>4010.6</v>
      </c>
      <c r="G23" s="629">
        <f>'stowage '!A28</f>
        <v>3.880217170003393</v>
      </c>
      <c r="H23" s="6">
        <f t="shared" si="1"/>
        <v>11435</v>
      </c>
      <c r="I23" s="6"/>
    </row>
    <row r="24" spans="1:9" ht="12.75">
      <c r="A24" s="5" t="s">
        <v>140</v>
      </c>
      <c r="B24" s="6"/>
      <c r="C24" s="6"/>
      <c r="D24" s="6">
        <v>5</v>
      </c>
      <c r="E24" s="6">
        <v>-30</v>
      </c>
      <c r="F24" s="6">
        <f t="shared" si="0"/>
        <v>-150</v>
      </c>
      <c r="G24" s="6">
        <v>5.72</v>
      </c>
      <c r="H24" s="6">
        <f t="shared" si="1"/>
        <v>28.599999999999998</v>
      </c>
      <c r="I24" s="6"/>
    </row>
    <row r="25" spans="1:9" ht="12.75">
      <c r="A25" s="5" t="s">
        <v>27</v>
      </c>
      <c r="B25" s="6"/>
      <c r="C25" s="6"/>
      <c r="D25" s="776">
        <f>'Ballast &amp; Consumb'!C33</f>
        <v>85</v>
      </c>
      <c r="E25" s="627">
        <f>'Ballast &amp; Consumb'!E33</f>
        <v>18</v>
      </c>
      <c r="F25" s="6">
        <f t="shared" si="0"/>
        <v>1530</v>
      </c>
      <c r="G25" s="6"/>
      <c r="H25" s="6"/>
      <c r="I25" s="6"/>
    </row>
    <row r="26" spans="1:9" ht="12.75">
      <c r="A26" s="5" t="s">
        <v>34</v>
      </c>
      <c r="B26" s="6"/>
      <c r="C26" s="6"/>
      <c r="D26" s="6">
        <f>SUM(D4:D25)</f>
        <v>3138.843</v>
      </c>
      <c r="E26" s="6"/>
      <c r="F26" s="6"/>
      <c r="G26" s="6"/>
      <c r="H26" s="6"/>
      <c r="I26" s="6"/>
    </row>
    <row r="27" spans="1:9" ht="12.75">
      <c r="A27" s="5" t="s">
        <v>28</v>
      </c>
      <c r="B27" s="6"/>
      <c r="C27" s="6"/>
      <c r="D27" s="6">
        <v>936</v>
      </c>
      <c r="E27" s="6">
        <v>-7.12</v>
      </c>
      <c r="F27" s="6">
        <f t="shared" si="0"/>
        <v>-6664.32</v>
      </c>
      <c r="G27" s="6">
        <v>5.68</v>
      </c>
      <c r="H27" s="6">
        <f t="shared" si="1"/>
        <v>5316.48</v>
      </c>
      <c r="I27" s="6"/>
    </row>
    <row r="28" spans="1:9" ht="12.75">
      <c r="A28" s="7" t="s">
        <v>29</v>
      </c>
      <c r="B28" s="6"/>
      <c r="C28" s="6"/>
      <c r="D28" s="8">
        <f>SUM(D26:D27)</f>
        <v>4074.843</v>
      </c>
      <c r="E28" s="6"/>
      <c r="F28" s="6"/>
      <c r="G28" s="6"/>
      <c r="H28" s="6"/>
      <c r="I28" s="6"/>
    </row>
    <row r="29" spans="5:9" ht="12.75">
      <c r="E29" t="s">
        <v>400</v>
      </c>
      <c r="F29" s="44">
        <f>SUM(F4:F27)</f>
        <v>-1939.7222000000002</v>
      </c>
      <c r="G29" s="66">
        <f>SUM(G4:G27)</f>
        <v>62.470217170003394</v>
      </c>
      <c r="H29" s="44">
        <f>SUM(H4:H27)</f>
        <v>16910.016900000002</v>
      </c>
      <c r="I29" s="45">
        <f>SUM(I14:I28)</f>
        <v>97.503</v>
      </c>
    </row>
    <row r="30" ht="2.25" customHeight="1"/>
    <row r="31" spans="1:4" ht="12.75">
      <c r="A31" s="42" t="s">
        <v>21</v>
      </c>
      <c r="B31" s="41">
        <f>F29/D28</f>
        <v>-0.4760237879103564</v>
      </c>
      <c r="D31" s="15"/>
    </row>
    <row r="32" spans="1:7" ht="12.75">
      <c r="A32" s="42" t="s">
        <v>22</v>
      </c>
      <c r="B32" s="41">
        <f>H29/D28</f>
        <v>4.149857282845009</v>
      </c>
      <c r="D32" s="12"/>
      <c r="F32" s="3" t="s">
        <v>36</v>
      </c>
      <c r="G32" s="345">
        <f>Initial!H4*Stability!B34/Stability!B38</f>
        <v>-0.0038484983496905835</v>
      </c>
    </row>
    <row r="33" spans="1:6" ht="12.75">
      <c r="A33" s="43" t="s">
        <v>31</v>
      </c>
      <c r="B33" s="41">
        <f>Initial!C25</f>
        <v>-0.4797773529411763</v>
      </c>
      <c r="D33" s="15"/>
      <c r="F33" s="3"/>
    </row>
    <row r="34" spans="1:7" ht="12.75">
      <c r="A34" s="42" t="s">
        <v>35</v>
      </c>
      <c r="B34" s="41">
        <f>B33-B31</f>
        <v>-0.0037535650308199164</v>
      </c>
      <c r="F34" s="3" t="s">
        <v>37</v>
      </c>
      <c r="G34" s="345">
        <f>G32*(Initial!$H$4/2+Stability!$B$39)/Initial!$H$4</f>
        <v>-0.0018270717464413076</v>
      </c>
    </row>
    <row r="35" spans="1:7" ht="12.75">
      <c r="A35" s="43" t="s">
        <v>33</v>
      </c>
      <c r="B35" s="41">
        <f>Initial!C27</f>
        <v>76.32445294117647</v>
      </c>
      <c r="F35" s="3" t="s">
        <v>38</v>
      </c>
      <c r="G35" s="345">
        <f>G32*(Initial!H4/2-Stability!B39)/Initial!H4</f>
        <v>-0.0020214266032492754</v>
      </c>
    </row>
    <row r="36" spans="1:7" ht="12.75">
      <c r="A36" s="43" t="s">
        <v>115</v>
      </c>
      <c r="B36" s="41">
        <f>Initial!C28</f>
        <v>5.457554705882353</v>
      </c>
      <c r="F36" s="3"/>
      <c r="G36" s="13"/>
    </row>
    <row r="37" spans="1:8" ht="12.75">
      <c r="A37" s="42" t="s">
        <v>114</v>
      </c>
      <c r="B37" s="41">
        <f>B36-B32</f>
        <v>1.307697423037344</v>
      </c>
      <c r="E37" s="58"/>
      <c r="F37" s="58" t="s">
        <v>329</v>
      </c>
      <c r="G37" s="58" t="s">
        <v>138</v>
      </c>
      <c r="H37" s="342" t="s">
        <v>139</v>
      </c>
    </row>
    <row r="38" spans="1:8" ht="12.75">
      <c r="A38" s="42" t="s">
        <v>110</v>
      </c>
      <c r="B38" s="41">
        <f>B35-B32</f>
        <v>72.17459565833147</v>
      </c>
      <c r="F38" s="343" t="s">
        <v>112</v>
      </c>
      <c r="G38" s="344">
        <f>B40-G35</f>
        <v>5.617130838367963</v>
      </c>
      <c r="H38" s="344">
        <f>G38+Initial!H1*Stability!G32</f>
        <v>5.617103698041096</v>
      </c>
    </row>
    <row r="39" spans="1:8" ht="12.75">
      <c r="A39" s="43" t="s">
        <v>32</v>
      </c>
      <c r="B39" s="41">
        <f>Initial!C24</f>
        <v>-1.8685547058823526</v>
      </c>
      <c r="F39" s="343" t="s">
        <v>74</v>
      </c>
      <c r="G39" s="344">
        <f>B40+G34</f>
        <v>5.613282340018272</v>
      </c>
      <c r="H39" s="344">
        <f>G39-Initial!H2*Stability!G32</f>
        <v>5.613423469717978</v>
      </c>
    </row>
    <row r="40" spans="1:2" ht="12.75">
      <c r="A40" s="43" t="s">
        <v>305</v>
      </c>
      <c r="B40" s="41">
        <f>Initial!C22</f>
        <v>5.615109411764713</v>
      </c>
    </row>
    <row r="41" spans="1:8" ht="12.75">
      <c r="A41" s="42" t="s">
        <v>40</v>
      </c>
      <c r="B41" s="41">
        <f>I29/D28</f>
        <v>0.023928038454487696</v>
      </c>
      <c r="D41" s="12"/>
      <c r="E41" s="651"/>
      <c r="F41" s="652"/>
      <c r="G41" s="653"/>
      <c r="H41" s="66"/>
    </row>
    <row r="42" spans="1:8" ht="12.75">
      <c r="A42" s="42" t="s">
        <v>39</v>
      </c>
      <c r="B42" s="41">
        <f>B37-B41</f>
        <v>1.2837693845828562</v>
      </c>
      <c r="D42" s="12"/>
      <c r="E42" s="654"/>
      <c r="F42" s="652"/>
      <c r="G42" s="653"/>
      <c r="H42" s="66"/>
    </row>
    <row r="43" ht="7.5" customHeight="1"/>
    <row r="44" spans="2:8" ht="15">
      <c r="B44" s="626" t="s">
        <v>431</v>
      </c>
      <c r="C44" s="61">
        <v>10</v>
      </c>
      <c r="D44" s="61">
        <v>20</v>
      </c>
      <c r="E44" s="61">
        <v>30</v>
      </c>
      <c r="F44" s="61">
        <v>45</v>
      </c>
      <c r="G44" s="61">
        <v>60</v>
      </c>
      <c r="H44" s="61">
        <v>75</v>
      </c>
    </row>
    <row r="45" spans="2:8" ht="12.75">
      <c r="B45" s="576" t="s">
        <v>379</v>
      </c>
      <c r="C45" s="598">
        <v>0.1736</v>
      </c>
      <c r="D45" s="598">
        <v>0.342</v>
      </c>
      <c r="E45" s="598">
        <v>0.5</v>
      </c>
      <c r="F45" s="598">
        <v>0.7071</v>
      </c>
      <c r="G45" s="598">
        <v>0.866</v>
      </c>
      <c r="H45" s="598">
        <v>0.9659</v>
      </c>
    </row>
    <row r="46" spans="2:8" ht="12.75">
      <c r="B46" s="577" t="s">
        <v>380</v>
      </c>
      <c r="C46" s="126">
        <v>0.003</v>
      </c>
      <c r="D46" s="126">
        <v>-0.075</v>
      </c>
      <c r="E46" s="126">
        <v>-0.154</v>
      </c>
      <c r="F46" s="126">
        <v>-0.307</v>
      </c>
      <c r="G46" s="126">
        <v>-0.562</v>
      </c>
      <c r="H46" s="126">
        <v>-0.89</v>
      </c>
    </row>
    <row r="47" spans="2:8" ht="12.75">
      <c r="B47" s="576" t="s">
        <v>381</v>
      </c>
      <c r="C47" s="578">
        <f aca="true" t="shared" si="2" ref="C47:H47">$B$42*C45</f>
        <v>0.22286236516358385</v>
      </c>
      <c r="D47" s="578">
        <f t="shared" si="2"/>
        <v>0.4390491295273368</v>
      </c>
      <c r="E47" s="578">
        <f t="shared" si="2"/>
        <v>0.6418846922914281</v>
      </c>
      <c r="F47" s="578">
        <f t="shared" si="2"/>
        <v>0.9077533318385376</v>
      </c>
      <c r="G47" s="578">
        <f t="shared" si="2"/>
        <v>1.1117442870487535</v>
      </c>
      <c r="H47" s="578">
        <f t="shared" si="2"/>
        <v>1.2399928485685807</v>
      </c>
    </row>
    <row r="48" spans="2:8" ht="12.75">
      <c r="B48" s="576" t="s">
        <v>430</v>
      </c>
      <c r="C48" s="578">
        <f aca="true" t="shared" si="3" ref="C48:H48">C46+C47</f>
        <v>0.22586236516358385</v>
      </c>
      <c r="D48" s="578">
        <f t="shared" si="3"/>
        <v>0.3640491295273368</v>
      </c>
      <c r="E48" s="623">
        <f t="shared" si="3"/>
        <v>0.48788469229142806</v>
      </c>
      <c r="F48" s="578">
        <f t="shared" si="3"/>
        <v>0.6007533318385376</v>
      </c>
      <c r="G48" s="578">
        <f t="shared" si="3"/>
        <v>0.5497442870487534</v>
      </c>
      <c r="H48" s="578">
        <f t="shared" si="3"/>
        <v>0.3499928485685807</v>
      </c>
    </row>
  </sheetData>
  <printOptions/>
  <pageMargins left="0.75" right="0.39" top="0.29" bottom="0.26" header="0.12" footer="0.26"/>
  <pageSetup horizontalDpi="360" verticalDpi="360" orientation="portrait" paperSize="9" r:id="rId2"/>
  <headerFooter alignWithMargins="0">
    <oddHeader>&amp;C&amp;"Arial,Bold"Ship's Stability Calculation</oddHeader>
  </headerFooter>
  <drawing r:id="rId1"/>
</worksheet>
</file>

<file path=xl/worksheets/sheet4.xml><?xml version="1.0" encoding="utf-8"?>
<worksheet xmlns="http://schemas.openxmlformats.org/spreadsheetml/2006/main" xmlns:r="http://schemas.openxmlformats.org/officeDocument/2006/relationships">
  <sheetPr codeName="Sheet11"/>
  <dimension ref="A1:T73"/>
  <sheetViews>
    <sheetView workbookViewId="0" topLeftCell="M1">
      <selection activeCell="U23" sqref="U23"/>
    </sheetView>
  </sheetViews>
  <sheetFormatPr defaultColWidth="9.140625" defaultRowHeight="12.75"/>
  <cols>
    <col min="1" max="1" width="3.140625" style="0" customWidth="1"/>
    <col min="2" max="2" width="16.57421875" style="0" customWidth="1"/>
    <col min="3" max="3" width="9.57421875" style="0" customWidth="1"/>
    <col min="11" max="11" width="0" style="0" hidden="1" customWidth="1"/>
    <col min="12" max="12" width="9.7109375" style="0" customWidth="1"/>
  </cols>
  <sheetData>
    <row r="1" spans="1:19" ht="18" customHeight="1">
      <c r="A1" s="939" t="s">
        <v>442</v>
      </c>
      <c r="B1" s="939"/>
      <c r="C1" s="939"/>
      <c r="D1" s="939"/>
      <c r="E1" s="939"/>
      <c r="F1" s="939"/>
      <c r="G1" s="939"/>
      <c r="H1" s="939"/>
      <c r="I1" s="939"/>
      <c r="N1" s="940" t="s">
        <v>473</v>
      </c>
      <c r="O1" s="940"/>
      <c r="P1" s="940"/>
      <c r="Q1" s="940"/>
      <c r="R1" s="940"/>
      <c r="S1" s="940"/>
    </row>
    <row r="2" spans="4:5" ht="12.75">
      <c r="D2" s="569" t="s">
        <v>109</v>
      </c>
      <c r="E2" s="570">
        <f>Stability!D28</f>
        <v>4074.843</v>
      </c>
    </row>
    <row r="3" spans="4:18" ht="12.75">
      <c r="D3" s="569" t="s">
        <v>382</v>
      </c>
      <c r="E3" s="570">
        <f>Stability!B42</f>
        <v>1.2837693845828562</v>
      </c>
      <c r="N3" s="590" t="s">
        <v>403</v>
      </c>
      <c r="O3" s="5">
        <f>E3</f>
        <v>1.2837693845828562</v>
      </c>
      <c r="Q3" s="589" t="s">
        <v>375</v>
      </c>
      <c r="R3" s="5">
        <f>E5</f>
        <v>0.023928038454487696</v>
      </c>
    </row>
    <row r="4" spans="4:18" ht="12.75">
      <c r="D4" s="569" t="s">
        <v>374</v>
      </c>
      <c r="E4" s="571">
        <f>Stability!B32</f>
        <v>4.149857282845009</v>
      </c>
      <c r="N4" s="589" t="s">
        <v>374</v>
      </c>
      <c r="O4" s="5">
        <f>E4</f>
        <v>4.149857282845009</v>
      </c>
      <c r="Q4" s="589" t="s">
        <v>404</v>
      </c>
      <c r="R4" s="5">
        <f>E6</f>
        <v>4.173785321299496</v>
      </c>
    </row>
    <row r="5" spans="4:5" ht="12.75">
      <c r="D5" s="569" t="s">
        <v>375</v>
      </c>
      <c r="E5" s="570">
        <f>Stability!B41</f>
        <v>0.023928038454487696</v>
      </c>
    </row>
    <row r="6" spans="4:20" ht="15">
      <c r="D6" s="569" t="s">
        <v>376</v>
      </c>
      <c r="E6" s="5">
        <f>E4+E5</f>
        <v>4.173785321299496</v>
      </c>
      <c r="F6" s="95"/>
      <c r="G6" s="95"/>
      <c r="M6" s="575" t="s">
        <v>386</v>
      </c>
      <c r="N6" s="61">
        <v>5</v>
      </c>
      <c r="O6" s="61">
        <v>10</v>
      </c>
      <c r="P6" s="61">
        <v>20</v>
      </c>
      <c r="Q6" s="61">
        <v>30</v>
      </c>
      <c r="R6" s="61">
        <v>45</v>
      </c>
      <c r="S6" s="61">
        <v>60</v>
      </c>
      <c r="T6" s="61">
        <v>75</v>
      </c>
    </row>
    <row r="7" spans="4:20" ht="12.75">
      <c r="D7" s="569" t="s">
        <v>377</v>
      </c>
      <c r="E7" s="5"/>
      <c r="F7" s="95"/>
      <c r="G7" s="620"/>
      <c r="M7" s="576" t="s">
        <v>379</v>
      </c>
      <c r="N7" s="126">
        <v>0.0872</v>
      </c>
      <c r="O7" s="598">
        <v>0.1736</v>
      </c>
      <c r="P7" s="598">
        <v>0.342</v>
      </c>
      <c r="Q7" s="598">
        <v>0.5</v>
      </c>
      <c r="R7" s="598">
        <v>0.7071</v>
      </c>
      <c r="S7" s="598">
        <v>0.866</v>
      </c>
      <c r="T7" s="598">
        <v>0.9659</v>
      </c>
    </row>
    <row r="8" spans="4:20" ht="12.75">
      <c r="D8" s="569" t="s">
        <v>378</v>
      </c>
      <c r="E8" s="5"/>
      <c r="F8" s="95"/>
      <c r="G8" s="12"/>
      <c r="M8" s="577" t="s">
        <v>380</v>
      </c>
      <c r="N8" s="126">
        <f>C13</f>
        <v>0.00024452941176433254</v>
      </c>
      <c r="O8" s="126">
        <f aca="true" t="shared" si="0" ref="O8:T8">D13</f>
        <v>0.005</v>
      </c>
      <c r="P8" s="126">
        <f t="shared" si="0"/>
        <v>-0.061266411764707</v>
      </c>
      <c r="Q8" s="126">
        <f t="shared" si="0"/>
        <v>-0.13577735294117835</v>
      </c>
      <c r="R8" s="126">
        <f t="shared" si="0"/>
        <v>-0.27104376470588537</v>
      </c>
      <c r="S8" s="126">
        <f t="shared" si="0"/>
        <v>-0.5282882941176497</v>
      </c>
      <c r="T8" s="126">
        <f t="shared" si="0"/>
        <v>-0.863532823529414</v>
      </c>
    </row>
    <row r="9" spans="4:20" ht="12.75">
      <c r="D9" s="569" t="s">
        <v>278</v>
      </c>
      <c r="E9" s="572">
        <f>Stability!B40</f>
        <v>5.615109411764713</v>
      </c>
      <c r="F9" s="95"/>
      <c r="G9" s="106"/>
      <c r="M9" s="576" t="s">
        <v>381</v>
      </c>
      <c r="N9" s="578">
        <f aca="true" t="shared" si="1" ref="N9:T9">$E$3*N7</f>
        <v>0.11194469033562505</v>
      </c>
      <c r="O9" s="578">
        <f t="shared" si="1"/>
        <v>0.22286236516358385</v>
      </c>
      <c r="P9" s="578">
        <f t="shared" si="1"/>
        <v>0.4390491295273368</v>
      </c>
      <c r="Q9" s="578">
        <f t="shared" si="1"/>
        <v>0.6418846922914281</v>
      </c>
      <c r="R9" s="578">
        <f t="shared" si="1"/>
        <v>0.9077533318385376</v>
      </c>
      <c r="S9" s="578">
        <f t="shared" si="1"/>
        <v>1.1117442870487535</v>
      </c>
      <c r="T9" s="578">
        <f t="shared" si="1"/>
        <v>1.2399928485685807</v>
      </c>
    </row>
    <row r="10" spans="13:20" ht="12.75">
      <c r="M10" s="579" t="s">
        <v>385</v>
      </c>
      <c r="N10" s="578">
        <f aca="true" t="shared" si="2" ref="N10:T10">N8+N9</f>
        <v>0.1121892197473894</v>
      </c>
      <c r="O10" s="578">
        <f t="shared" si="2"/>
        <v>0.22786236516358385</v>
      </c>
      <c r="P10" s="578">
        <f t="shared" si="2"/>
        <v>0.37778271776262984</v>
      </c>
      <c r="Q10" s="623">
        <f t="shared" si="2"/>
        <v>0.5061073393502498</v>
      </c>
      <c r="R10" s="578">
        <f t="shared" si="2"/>
        <v>0.6367095671326521</v>
      </c>
      <c r="S10" s="578">
        <f t="shared" si="2"/>
        <v>0.5834559929311038</v>
      </c>
      <c r="T10" s="578">
        <f t="shared" si="2"/>
        <v>0.37646002503916676</v>
      </c>
    </row>
    <row r="11" spans="2:9" ht="15">
      <c r="B11" s="574" t="s">
        <v>386</v>
      </c>
      <c r="C11" s="201">
        <v>5</v>
      </c>
      <c r="D11" s="201">
        <v>10</v>
      </c>
      <c r="E11" s="201">
        <v>20</v>
      </c>
      <c r="F11" s="201">
        <v>30</v>
      </c>
      <c r="G11" s="201">
        <v>45</v>
      </c>
      <c r="H11" s="201">
        <v>60</v>
      </c>
      <c r="I11" s="201">
        <v>75</v>
      </c>
    </row>
    <row r="12" spans="2:9" ht="12.75">
      <c r="B12" s="565" t="s">
        <v>379</v>
      </c>
      <c r="C12" s="566">
        <v>0.0872</v>
      </c>
      <c r="D12" s="567">
        <v>0.1736</v>
      </c>
      <c r="E12" s="567">
        <v>0.342</v>
      </c>
      <c r="F12" s="567">
        <v>0.5</v>
      </c>
      <c r="G12" s="567">
        <v>0.7071</v>
      </c>
      <c r="H12" s="567">
        <v>0.866</v>
      </c>
      <c r="I12" s="567">
        <v>0.9659</v>
      </c>
    </row>
    <row r="13" spans="2:9" ht="12.75">
      <c r="B13" s="38" t="s">
        <v>380</v>
      </c>
      <c r="C13" s="760">
        <f>data2!K12</f>
        <v>0.00024452941176433254</v>
      </c>
      <c r="D13" s="760">
        <f>data2!K18</f>
        <v>0.005</v>
      </c>
      <c r="E13" s="760">
        <f>data2!K24</f>
        <v>-0.061266411764707</v>
      </c>
      <c r="F13" s="760">
        <f>data2!K30</f>
        <v>-0.13577735294117835</v>
      </c>
      <c r="G13" s="760">
        <f>data2!K36</f>
        <v>-0.27104376470588537</v>
      </c>
      <c r="H13" s="760">
        <f>data2!K42</f>
        <v>-0.5282882941176497</v>
      </c>
      <c r="I13" s="760">
        <f>data2!K48</f>
        <v>-0.863532823529414</v>
      </c>
    </row>
    <row r="14" spans="2:9" ht="12.75">
      <c r="B14" s="565" t="s">
        <v>381</v>
      </c>
      <c r="C14" s="568">
        <f aca="true" t="shared" si="3" ref="C14:I14">$E$3*C12</f>
        <v>0.11194469033562505</v>
      </c>
      <c r="D14" s="568">
        <f t="shared" si="3"/>
        <v>0.22286236516358385</v>
      </c>
      <c r="E14" s="568">
        <f t="shared" si="3"/>
        <v>0.4390491295273368</v>
      </c>
      <c r="F14" s="568">
        <f t="shared" si="3"/>
        <v>0.6418846922914281</v>
      </c>
      <c r="G14" s="568">
        <f t="shared" si="3"/>
        <v>0.9077533318385376</v>
      </c>
      <c r="H14" s="568">
        <f t="shared" si="3"/>
        <v>1.1117442870487535</v>
      </c>
      <c r="I14" s="568">
        <f t="shared" si="3"/>
        <v>1.2399928485685807</v>
      </c>
    </row>
    <row r="15" spans="2:9" ht="12.75">
      <c r="B15" s="573" t="s">
        <v>385</v>
      </c>
      <c r="C15" s="568">
        <f aca="true" t="shared" si="4" ref="C15:I15">C13+C14</f>
        <v>0.1121892197473894</v>
      </c>
      <c r="D15" s="568">
        <f t="shared" si="4"/>
        <v>0.22786236516358385</v>
      </c>
      <c r="E15" s="568">
        <f t="shared" si="4"/>
        <v>0.37778271776262984</v>
      </c>
      <c r="F15" s="568">
        <f t="shared" si="4"/>
        <v>0.5061073393502498</v>
      </c>
      <c r="G15" s="568">
        <f t="shared" si="4"/>
        <v>0.6367095671326521</v>
      </c>
      <c r="H15" s="568">
        <f t="shared" si="4"/>
        <v>0.5834559929311038</v>
      </c>
      <c r="I15" s="568">
        <f t="shared" si="4"/>
        <v>0.37646002503916676</v>
      </c>
    </row>
    <row r="17" spans="2:9" ht="12.75">
      <c r="B17" s="569" t="s">
        <v>383</v>
      </c>
      <c r="C17" s="201">
        <v>0</v>
      </c>
      <c r="D17" s="201">
        <v>10</v>
      </c>
      <c r="E17" s="201">
        <v>20</v>
      </c>
      <c r="F17" s="201">
        <v>30</v>
      </c>
      <c r="G17" s="201">
        <v>45</v>
      </c>
      <c r="H17" s="201">
        <v>60</v>
      </c>
      <c r="I17" s="201">
        <v>75</v>
      </c>
    </row>
    <row r="18" spans="2:9" ht="12.75">
      <c r="B18" s="569" t="s">
        <v>384</v>
      </c>
      <c r="C18" s="149">
        <v>0</v>
      </c>
      <c r="D18" s="568">
        <f aca="true" t="shared" si="5" ref="D18:I18">D15</f>
        <v>0.22786236516358385</v>
      </c>
      <c r="E18" s="568">
        <f t="shared" si="5"/>
        <v>0.37778271776262984</v>
      </c>
      <c r="F18" s="568">
        <f t="shared" si="5"/>
        <v>0.5061073393502498</v>
      </c>
      <c r="G18" s="568">
        <f t="shared" si="5"/>
        <v>0.6367095671326521</v>
      </c>
      <c r="H18" s="568">
        <f t="shared" si="5"/>
        <v>0.5834559929311038</v>
      </c>
      <c r="I18" s="568">
        <f t="shared" si="5"/>
        <v>0.37646002503916676</v>
      </c>
    </row>
    <row r="33" spans="14:16" ht="12.75">
      <c r="N33" s="593"/>
      <c r="O33" s="762"/>
      <c r="P33" s="597"/>
    </row>
    <row r="34" spans="13:20" ht="12.75">
      <c r="M34" s="12"/>
      <c r="N34" s="593" t="s">
        <v>50</v>
      </c>
      <c r="O34" s="595">
        <f>C50</f>
        <v>4074.843</v>
      </c>
      <c r="P34" s="596" t="s">
        <v>411</v>
      </c>
      <c r="R34" s="65" t="s">
        <v>415</v>
      </c>
      <c r="S34" s="624">
        <f>Q10</f>
        <v>0.5061073393502498</v>
      </c>
      <c r="T34" t="s">
        <v>416</v>
      </c>
    </row>
    <row r="35" spans="13:20" ht="15">
      <c r="M35" s="12"/>
      <c r="N35" s="593" t="s">
        <v>405</v>
      </c>
      <c r="O35" s="6">
        <f>D50</f>
        <v>2947</v>
      </c>
      <c r="P35" s="596" t="s">
        <v>411</v>
      </c>
      <c r="R35" s="599" t="s">
        <v>417</v>
      </c>
      <c r="S35" s="6"/>
      <c r="T35" s="765" t="s">
        <v>486</v>
      </c>
    </row>
    <row r="36" spans="12:20" ht="15">
      <c r="L36" s="15"/>
      <c r="N36" s="594" t="s">
        <v>295</v>
      </c>
      <c r="O36" s="6">
        <f>E46</f>
        <v>139420</v>
      </c>
      <c r="P36" s="597" t="s">
        <v>410</v>
      </c>
      <c r="Q36" s="15"/>
      <c r="R36" s="599" t="s">
        <v>418</v>
      </c>
      <c r="S36" s="8"/>
      <c r="T36" s="15"/>
    </row>
    <row r="37" spans="12:20" ht="12.75">
      <c r="L37" s="591"/>
      <c r="N37" s="594" t="s">
        <v>406</v>
      </c>
      <c r="O37" s="580">
        <f>E50</f>
        <v>47.30912792670512</v>
      </c>
      <c r="P37" s="597" t="s">
        <v>166</v>
      </c>
      <c r="Q37" s="12"/>
      <c r="R37" s="12"/>
      <c r="S37" s="592"/>
      <c r="T37" s="12"/>
    </row>
    <row r="38" spans="12:20" ht="12.75">
      <c r="L38" s="591"/>
      <c r="N38" s="594" t="s">
        <v>414</v>
      </c>
      <c r="O38" s="46">
        <f>G50</f>
        <v>4.173785321299496</v>
      </c>
      <c r="P38" s="597" t="s">
        <v>158</v>
      </c>
      <c r="Q38" s="12"/>
      <c r="R38" s="763" t="s">
        <v>484</v>
      </c>
      <c r="S38" s="46">
        <f>O3</f>
        <v>1.2837693845828562</v>
      </c>
      <c r="T38" s="764" t="s">
        <v>485</v>
      </c>
    </row>
    <row r="39" spans="14:16" ht="12.75">
      <c r="N39" s="594" t="s">
        <v>407</v>
      </c>
      <c r="O39" s="6">
        <f>H50</f>
        <v>659</v>
      </c>
      <c r="P39" s="597" t="s">
        <v>413</v>
      </c>
    </row>
    <row r="40" spans="14:16" ht="12.75">
      <c r="N40" s="594" t="s">
        <v>408</v>
      </c>
      <c r="O40" s="581">
        <f>I50</f>
        <v>491.71694807057804</v>
      </c>
      <c r="P40" s="597" t="s">
        <v>412</v>
      </c>
    </row>
    <row r="41" spans="14:16" ht="12.75">
      <c r="N41" s="594" t="s">
        <v>409</v>
      </c>
      <c r="O41" s="581">
        <f>J50</f>
        <v>1138.914214296041</v>
      </c>
      <c r="P41" s="597" t="s">
        <v>412</v>
      </c>
    </row>
    <row r="44" spans="14:15" ht="12.75">
      <c r="N44" s="57" t="s">
        <v>492</v>
      </c>
      <c r="O44" s="2">
        <f>'Ballast &amp; Consumb'!D83</f>
        <v>1.01</v>
      </c>
    </row>
    <row r="45" spans="3:8" ht="12.75">
      <c r="C45" s="5" t="s">
        <v>146</v>
      </c>
      <c r="D45" s="6" t="s">
        <v>388</v>
      </c>
      <c r="E45" s="6" t="s">
        <v>389</v>
      </c>
      <c r="F45" s="6" t="s">
        <v>21</v>
      </c>
      <c r="G45" s="6" t="s">
        <v>149</v>
      </c>
      <c r="H45" s="6" t="s">
        <v>390</v>
      </c>
    </row>
    <row r="46" spans="3:15" ht="12.75">
      <c r="C46" s="6" t="s">
        <v>387</v>
      </c>
      <c r="D46" s="6">
        <v>3948.1</v>
      </c>
      <c r="E46" s="6">
        <v>139420</v>
      </c>
      <c r="F46" s="6">
        <v>2.61</v>
      </c>
      <c r="G46" s="631">
        <v>4.49</v>
      </c>
      <c r="H46" s="6">
        <v>659</v>
      </c>
      <c r="N46" s="57" t="s">
        <v>488</v>
      </c>
      <c r="O46" s="767">
        <f>'Ballast &amp; Consumb'!D86</f>
        <v>5.576080022757147</v>
      </c>
    </row>
    <row r="47" spans="3:15" ht="12.75">
      <c r="C47" s="6" t="s">
        <v>399</v>
      </c>
      <c r="D47" s="6">
        <v>3753.3</v>
      </c>
      <c r="E47" s="6">
        <v>132540</v>
      </c>
      <c r="F47" s="6">
        <v>1.24</v>
      </c>
      <c r="G47" s="631">
        <v>4.48</v>
      </c>
      <c r="H47" s="6">
        <v>618</v>
      </c>
      <c r="N47" s="57" t="s">
        <v>489</v>
      </c>
      <c r="O47" s="768">
        <f>'Ballast &amp; Consumb'!D87</f>
        <v>5.566736167734427</v>
      </c>
    </row>
    <row r="48" spans="14:15" ht="12.75">
      <c r="N48" s="57" t="s">
        <v>490</v>
      </c>
      <c r="O48" s="769">
        <f>'Ballast &amp; Consumb'!D88</f>
        <v>5.558285079364617</v>
      </c>
    </row>
    <row r="49" spans="2:15" ht="13.5" thickBot="1">
      <c r="B49" s="583" t="s">
        <v>391</v>
      </c>
      <c r="C49" s="583" t="s">
        <v>109</v>
      </c>
      <c r="D49" s="583" t="s">
        <v>296</v>
      </c>
      <c r="E49" s="583" t="s">
        <v>392</v>
      </c>
      <c r="F49" s="583" t="s">
        <v>90</v>
      </c>
      <c r="G49" s="583" t="s">
        <v>393</v>
      </c>
      <c r="H49" s="583" t="s">
        <v>394</v>
      </c>
      <c r="I49" s="583" t="s">
        <v>395</v>
      </c>
      <c r="J49" s="583" t="s">
        <v>396</v>
      </c>
      <c r="O49" s="2"/>
    </row>
    <row r="50" spans="2:15" ht="12.75">
      <c r="B50" s="584" t="s">
        <v>397</v>
      </c>
      <c r="C50" s="10">
        <f>Stability!D28</f>
        <v>4074.843</v>
      </c>
      <c r="D50" s="10">
        <f>Stability!D23</f>
        <v>2947</v>
      </c>
      <c r="E50" s="595">
        <f>E46/D50</f>
        <v>47.30912792670512</v>
      </c>
      <c r="F50" s="10">
        <f>'Ballast &amp; Consumb'!E20</f>
        <v>52.809999999999995</v>
      </c>
      <c r="G50" s="10">
        <f>GrainStab!E6</f>
        <v>4.173785321299496</v>
      </c>
      <c r="H50" s="10">
        <f>H46</f>
        <v>659</v>
      </c>
      <c r="I50" s="582">
        <f>H50*35.3/E50</f>
        <v>491.71694807057804</v>
      </c>
      <c r="J50" s="10">
        <f>C73</f>
        <v>1138.914214296041</v>
      </c>
      <c r="N50" s="57" t="s">
        <v>491</v>
      </c>
      <c r="O50" s="46">
        <f>'Ballast &amp; Consumb'!D89</f>
        <v>-0.01780116172649012</v>
      </c>
    </row>
    <row r="51" spans="2:10" ht="13.5" thickBot="1">
      <c r="B51" s="585" t="s">
        <v>398</v>
      </c>
      <c r="C51" s="99">
        <f>Stability!D28</f>
        <v>4074.843</v>
      </c>
      <c r="D51" s="99">
        <f>Stability!D23</f>
        <v>2947</v>
      </c>
      <c r="E51" s="99">
        <v>44.2</v>
      </c>
      <c r="F51" s="99">
        <f>'Ballast &amp; Consumb'!E20</f>
        <v>52.809999999999995</v>
      </c>
      <c r="G51" s="99">
        <f>E6</f>
        <v>4.173785321299496</v>
      </c>
      <c r="H51" s="586">
        <f>H47</f>
        <v>618</v>
      </c>
      <c r="I51" s="587">
        <f>H51*35.3/E51</f>
        <v>493.5610859728506</v>
      </c>
      <c r="J51" s="99">
        <f>C59</f>
        <v>993.9717429604042</v>
      </c>
    </row>
    <row r="52" spans="2:6" ht="13.5" hidden="1" thickBot="1">
      <c r="B52" s="938" t="s">
        <v>440</v>
      </c>
      <c r="C52" s="938"/>
      <c r="D52" s="938"/>
      <c r="E52" s="938"/>
      <c r="F52" s="938"/>
    </row>
    <row r="53" spans="2:6" ht="12.75" hidden="1">
      <c r="B53" s="600" t="s">
        <v>420</v>
      </c>
      <c r="C53" s="617">
        <f>'Ballast &amp; Consumb'!E123</f>
        <v>3600</v>
      </c>
      <c r="D53" s="93"/>
      <c r="E53" s="93"/>
      <c r="F53" s="601"/>
    </row>
    <row r="54" spans="2:6" ht="12.75" hidden="1">
      <c r="B54" s="94"/>
      <c r="C54" s="602" t="s">
        <v>106</v>
      </c>
      <c r="D54" s="602" t="s">
        <v>107</v>
      </c>
      <c r="E54" s="603" t="s">
        <v>108</v>
      </c>
      <c r="F54" s="604" t="s">
        <v>120</v>
      </c>
    </row>
    <row r="55" spans="2:6" ht="12.75" hidden="1">
      <c r="B55" s="605" t="s">
        <v>149</v>
      </c>
      <c r="C55" s="272">
        <f>'Ballast &amp; Consumb'!E124</f>
        <v>4.55</v>
      </c>
      <c r="D55" s="272">
        <f>'Ballast &amp; Consumb'!E125</f>
        <v>4.6</v>
      </c>
      <c r="E55" s="636">
        <f>D55-C55</f>
        <v>0.04999999999999982</v>
      </c>
      <c r="F55" s="606"/>
    </row>
    <row r="56" spans="2:6" ht="12.75" hidden="1">
      <c r="B56" s="605" t="s">
        <v>401</v>
      </c>
      <c r="C56" s="201">
        <f>'Ballast &amp; Consumb'!G124</f>
        <v>693</v>
      </c>
      <c r="D56" s="201">
        <f>'Ballast &amp; Consumb'!G125</f>
        <v>653</v>
      </c>
      <c r="E56" s="636">
        <f>D56-C56</f>
        <v>-40</v>
      </c>
      <c r="F56" s="607">
        <f>E55/E56</f>
        <v>-0.0012499999999999955</v>
      </c>
    </row>
    <row r="57" spans="2:6" ht="12.75" hidden="1">
      <c r="B57" s="94"/>
      <c r="C57" s="602" t="s">
        <v>402</v>
      </c>
      <c r="D57" s="95"/>
      <c r="E57" s="95"/>
      <c r="F57" s="96"/>
    </row>
    <row r="58" spans="2:6" ht="12.75" hidden="1">
      <c r="B58" s="605" t="s">
        <v>149</v>
      </c>
      <c r="C58" s="201">
        <f>G50</f>
        <v>4.173785321299496</v>
      </c>
      <c r="D58" s="588">
        <f>C58-C55</f>
        <v>-0.37621467870050385</v>
      </c>
      <c r="E58" s="95"/>
      <c r="F58" s="96"/>
    </row>
    <row r="59" spans="2:6" ht="13.5" hidden="1" thickBot="1">
      <c r="B59" s="608" t="s">
        <v>401</v>
      </c>
      <c r="C59" s="618">
        <f>C56+D58/F56</f>
        <v>993.9717429604042</v>
      </c>
      <c r="D59" s="97"/>
      <c r="E59" s="97"/>
      <c r="F59" s="98"/>
    </row>
    <row r="60" spans="2:6" ht="12.75" hidden="1">
      <c r="B60" s="600" t="s">
        <v>421</v>
      </c>
      <c r="C60" s="617">
        <f>'Ballast &amp; Consumb'!E127</f>
        <v>3700</v>
      </c>
      <c r="D60" s="610"/>
      <c r="E60" s="610"/>
      <c r="F60" s="611"/>
    </row>
    <row r="61" spans="2:6" ht="12.75" hidden="1">
      <c r="B61" s="612"/>
      <c r="C61" s="602" t="s">
        <v>106</v>
      </c>
      <c r="D61" s="602" t="s">
        <v>107</v>
      </c>
      <c r="E61" s="603" t="s">
        <v>108</v>
      </c>
      <c r="F61" s="604" t="s">
        <v>120</v>
      </c>
    </row>
    <row r="62" spans="2:6" ht="12.75" hidden="1">
      <c r="B62" s="605" t="s">
        <v>149</v>
      </c>
      <c r="C62" s="272">
        <f>'Ballast &amp; Consumb'!E128</f>
        <v>4.55</v>
      </c>
      <c r="D62" s="272">
        <f>'Ballast &amp; Consumb'!E129</f>
        <v>4.6</v>
      </c>
      <c r="E62" s="636">
        <f>D62-C62</f>
        <v>0.04999999999999982</v>
      </c>
      <c r="F62" s="606"/>
    </row>
    <row r="63" spans="2:6" ht="12.75" hidden="1">
      <c r="B63" s="605" t="s">
        <v>401</v>
      </c>
      <c r="C63" s="201">
        <f>'Ballast &amp; Consumb'!G128</f>
        <v>716</v>
      </c>
      <c r="D63" s="201">
        <f>'Ballast &amp; Consumb'!G129</f>
        <v>675</v>
      </c>
      <c r="E63" s="636">
        <f>D63-C63</f>
        <v>-41</v>
      </c>
      <c r="F63" s="607">
        <f>E62/E63</f>
        <v>-0.0012195121951219469</v>
      </c>
    </row>
    <row r="64" spans="2:6" ht="12.75" hidden="1">
      <c r="B64" s="612"/>
      <c r="C64" s="602" t="s">
        <v>402</v>
      </c>
      <c r="D64" s="520"/>
      <c r="E64" s="520"/>
      <c r="F64" s="613"/>
    </row>
    <row r="65" spans="2:6" ht="12.75" hidden="1">
      <c r="B65" s="605" t="s">
        <v>149</v>
      </c>
      <c r="C65" s="201">
        <f>G50</f>
        <v>4.173785321299496</v>
      </c>
      <c r="D65" s="588">
        <f>C65-C62</f>
        <v>-0.37621467870050385</v>
      </c>
      <c r="E65" s="520"/>
      <c r="F65" s="613"/>
    </row>
    <row r="66" spans="2:6" ht="13.5" hidden="1" thickBot="1">
      <c r="B66" s="608" t="s">
        <v>401</v>
      </c>
      <c r="C66" s="609">
        <f>C63+D65/F63</f>
        <v>1024.4960365344143</v>
      </c>
      <c r="D66" s="614"/>
      <c r="E66" s="614"/>
      <c r="F66" s="615"/>
    </row>
    <row r="67" spans="2:6" ht="12.75" hidden="1">
      <c r="B67" s="600" t="s">
        <v>419</v>
      </c>
      <c r="C67" s="617">
        <f>C50</f>
        <v>4074.843</v>
      </c>
      <c r="D67" s="610"/>
      <c r="E67" s="610"/>
      <c r="F67" s="611"/>
    </row>
    <row r="68" spans="2:6" ht="12.75" hidden="1">
      <c r="B68" s="612"/>
      <c r="C68" s="602" t="s">
        <v>106</v>
      </c>
      <c r="D68" s="602" t="s">
        <v>107</v>
      </c>
      <c r="E68" s="603" t="s">
        <v>108</v>
      </c>
      <c r="F68" s="604" t="s">
        <v>120</v>
      </c>
    </row>
    <row r="69" spans="2:6" ht="12.75" hidden="1">
      <c r="B69" s="605" t="s">
        <v>105</v>
      </c>
      <c r="C69" s="616">
        <f>C53</f>
        <v>3600</v>
      </c>
      <c r="D69" s="201">
        <f>C60</f>
        <v>3700</v>
      </c>
      <c r="E69" s="588">
        <f>D69-C69</f>
        <v>100</v>
      </c>
      <c r="F69" s="606"/>
    </row>
    <row r="70" spans="2:6" ht="12.75" hidden="1">
      <c r="B70" s="605" t="s">
        <v>401</v>
      </c>
      <c r="C70" s="535">
        <f>C59</f>
        <v>993.9717429604042</v>
      </c>
      <c r="D70" s="201">
        <f>C66</f>
        <v>1024.4960365344143</v>
      </c>
      <c r="E70" s="588">
        <f>D70-C70</f>
        <v>30.52429357401013</v>
      </c>
      <c r="F70" s="607">
        <f>E69/E70</f>
        <v>3.2760790927900416</v>
      </c>
    </row>
    <row r="71" spans="2:6" ht="12.75" hidden="1">
      <c r="B71" s="612"/>
      <c r="C71" s="602" t="s">
        <v>402</v>
      </c>
      <c r="D71" s="520"/>
      <c r="E71" s="520"/>
      <c r="F71" s="613"/>
    </row>
    <row r="72" spans="2:6" ht="12.75" hidden="1">
      <c r="B72" s="605" t="s">
        <v>105</v>
      </c>
      <c r="C72" s="201">
        <f>C67</f>
        <v>4074.843</v>
      </c>
      <c r="D72" s="588">
        <f>C72-C69</f>
        <v>474.84299999999985</v>
      </c>
      <c r="E72" s="520"/>
      <c r="F72" s="613"/>
    </row>
    <row r="73" spans="2:6" ht="13.5" hidden="1" thickBot="1">
      <c r="B73" s="608" t="s">
        <v>401</v>
      </c>
      <c r="C73" s="609">
        <f>C70+D72/F70</f>
        <v>1138.914214296041</v>
      </c>
      <c r="D73" s="614"/>
      <c r="E73" s="614"/>
      <c r="F73" s="615"/>
    </row>
    <row r="74" ht="12.75" hidden="1"/>
  </sheetData>
  <mergeCells count="3">
    <mergeCell ref="B52:F52"/>
    <mergeCell ref="A1:I1"/>
    <mergeCell ref="N1:S1"/>
  </mergeCells>
  <printOptions/>
  <pageMargins left="0.37" right="0.22" top="0.51" bottom="0.44" header="0.27" footer="0.26"/>
  <pageSetup horizontalDpi="360" verticalDpi="36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7"/>
  <dimension ref="A2:L39"/>
  <sheetViews>
    <sheetView workbookViewId="0" topLeftCell="A26">
      <selection activeCell="K24" sqref="K24"/>
    </sheetView>
  </sheetViews>
  <sheetFormatPr defaultColWidth="9.140625" defaultRowHeight="12.75"/>
  <cols>
    <col min="3" max="3" width="10.00390625" style="0" customWidth="1"/>
    <col min="6" max="6" width="13.28125" style="0" bestFit="1" customWidth="1"/>
    <col min="9" max="9" width="9.57421875" style="0" bestFit="1" customWidth="1"/>
  </cols>
  <sheetData>
    <row r="2" spans="1:9" ht="12.75">
      <c r="A2" s="38" t="s">
        <v>95</v>
      </c>
      <c r="B2" s="6">
        <v>16</v>
      </c>
      <c r="C2" s="6">
        <f>B2*0.3048</f>
        <v>4.8768</v>
      </c>
      <c r="E2" s="38" t="s">
        <v>96</v>
      </c>
      <c r="F2" s="91">
        <v>5.6</v>
      </c>
      <c r="G2" s="47">
        <f>ROUNDDOWN(F2,0)</f>
        <v>5</v>
      </c>
      <c r="I2" s="6">
        <v>2.02</v>
      </c>
    </row>
    <row r="3" spans="1:9" ht="12.75">
      <c r="A3" s="38" t="s">
        <v>97</v>
      </c>
      <c r="B3" s="6">
        <v>3</v>
      </c>
      <c r="C3" s="6">
        <f>B3*0.0254</f>
        <v>0.07619999999999999</v>
      </c>
      <c r="E3" s="38" t="s">
        <v>95</v>
      </c>
      <c r="F3" s="90">
        <f>ROUNDDOWN(G4,0)</f>
        <v>18</v>
      </c>
      <c r="G3" s="47">
        <f>F2-G2</f>
        <v>0.5999999999999996</v>
      </c>
      <c r="I3" s="90">
        <v>6.77</v>
      </c>
    </row>
    <row r="4" spans="2:9" ht="12.75">
      <c r="B4" s="1" t="s">
        <v>96</v>
      </c>
      <c r="C4" s="772">
        <f>SUM(C2:C3)</f>
        <v>4.953</v>
      </c>
      <c r="E4" s="38" t="s">
        <v>97</v>
      </c>
      <c r="F4" s="46">
        <f>G5*12</f>
        <v>4.472447999999986</v>
      </c>
      <c r="G4" s="48">
        <f>F2*3.28084</f>
        <v>18.372704</v>
      </c>
      <c r="I4" s="6">
        <f>I3-I2</f>
        <v>4.75</v>
      </c>
    </row>
    <row r="5" spans="7:8" ht="12.75">
      <c r="G5" s="49">
        <f>G4-F3</f>
        <v>0.3727039999999988</v>
      </c>
      <c r="H5" s="1" t="s">
        <v>280</v>
      </c>
    </row>
    <row r="6" ht="12.75">
      <c r="H6" s="6">
        <f>F2-F10</f>
        <v>4.13</v>
      </c>
    </row>
    <row r="7" spans="3:7" ht="12.75">
      <c r="C7" s="3" t="s">
        <v>98</v>
      </c>
      <c r="D7" s="3"/>
      <c r="F7" s="3" t="s">
        <v>99</v>
      </c>
      <c r="G7" s="3"/>
    </row>
    <row r="8" spans="3:7" ht="12.75">
      <c r="C8" s="3" t="s">
        <v>100</v>
      </c>
      <c r="D8" s="2" t="s">
        <v>96</v>
      </c>
      <c r="E8" s="2"/>
      <c r="F8" s="3" t="s">
        <v>96</v>
      </c>
      <c r="G8" s="2" t="s">
        <v>100</v>
      </c>
    </row>
    <row r="9" spans="2:9" ht="12.75">
      <c r="B9" s="63" t="s">
        <v>101</v>
      </c>
      <c r="C9" s="6" t="s">
        <v>292</v>
      </c>
      <c r="D9" s="6"/>
      <c r="F9" s="8">
        <v>0.03</v>
      </c>
      <c r="G9" s="6"/>
      <c r="H9" s="230" t="s">
        <v>185</v>
      </c>
      <c r="I9" s="8">
        <v>2020</v>
      </c>
    </row>
    <row r="10" spans="2:9" ht="12.75">
      <c r="B10" s="63" t="s">
        <v>102</v>
      </c>
      <c r="C10" s="6"/>
      <c r="D10" s="6">
        <v>5.68</v>
      </c>
      <c r="F10" s="229">
        <f>(F9+F11)/2</f>
        <v>1.47</v>
      </c>
      <c r="G10" s="6">
        <v>5.67</v>
      </c>
      <c r="H10" s="230" t="s">
        <v>279</v>
      </c>
      <c r="I10" s="231">
        <f>I9-Initial!G18</f>
        <v>1828.157</v>
      </c>
    </row>
    <row r="11" spans="2:7" ht="12.75">
      <c r="B11" s="63" t="s">
        <v>103</v>
      </c>
      <c r="C11" s="6" t="s">
        <v>293</v>
      </c>
      <c r="D11" s="6"/>
      <c r="F11" s="8">
        <v>2.91</v>
      </c>
      <c r="G11" s="6"/>
    </row>
    <row r="12" spans="6:8" ht="12.75">
      <c r="F12">
        <f>6.77-F10</f>
        <v>5.3</v>
      </c>
      <c r="G12" s="3" t="s">
        <v>52</v>
      </c>
      <c r="H12" s="232" t="s">
        <v>281</v>
      </c>
    </row>
    <row r="13" spans="7:8" ht="12.75">
      <c r="G13" s="6">
        <v>8</v>
      </c>
      <c r="H13" s="228">
        <f>H6*G13*100</f>
        <v>3304</v>
      </c>
    </row>
    <row r="14" spans="2:8" ht="12.75">
      <c r="B14" s="1" t="s">
        <v>121</v>
      </c>
      <c r="G14" t="s">
        <v>282</v>
      </c>
      <c r="H14" s="233">
        <f>I10+H13</f>
        <v>5132.157</v>
      </c>
    </row>
    <row r="15" spans="3:6" ht="12.75">
      <c r="C15" s="2" t="s">
        <v>106</v>
      </c>
      <c r="D15" s="2" t="s">
        <v>107</v>
      </c>
      <c r="E15" s="2" t="s">
        <v>108</v>
      </c>
      <c r="F15" t="s">
        <v>120</v>
      </c>
    </row>
    <row r="16" spans="2:9" ht="12.75">
      <c r="B16" t="s">
        <v>104</v>
      </c>
      <c r="C16" s="8">
        <v>5000</v>
      </c>
      <c r="D16" s="8">
        <v>5020</v>
      </c>
      <c r="E16" s="5">
        <f>D16-C16</f>
        <v>20</v>
      </c>
      <c r="H16" s="108" t="s">
        <v>191</v>
      </c>
      <c r="I16" s="2">
        <v>82</v>
      </c>
    </row>
    <row r="17" spans="2:9" ht="12.75">
      <c r="B17" t="s">
        <v>105</v>
      </c>
      <c r="C17" s="8">
        <v>3661</v>
      </c>
      <c r="D17" s="8">
        <v>3677</v>
      </c>
      <c r="E17" s="5">
        <f>D17-C17</f>
        <v>16</v>
      </c>
      <c r="F17" s="5">
        <f>E16/E17</f>
        <v>1.25</v>
      </c>
      <c r="H17" s="108" t="s">
        <v>27</v>
      </c>
      <c r="I17" s="2">
        <v>70</v>
      </c>
    </row>
    <row r="18" spans="8:9" ht="12.75">
      <c r="H18" s="108" t="s">
        <v>190</v>
      </c>
      <c r="I18" s="2">
        <f>C20-I16-I17-936</f>
        <v>2582.6</v>
      </c>
    </row>
    <row r="19" spans="2:9" ht="12.75">
      <c r="B19" t="s">
        <v>104</v>
      </c>
      <c r="C19" s="113">
        <v>5012</v>
      </c>
      <c r="D19" s="5">
        <f>C19-C16</f>
        <v>12</v>
      </c>
      <c r="F19" s="891"/>
      <c r="G19" s="891"/>
      <c r="H19" s="892"/>
      <c r="I19" s="892"/>
    </row>
    <row r="20" spans="2:9" ht="12.75">
      <c r="B20" s="59" t="s">
        <v>109</v>
      </c>
      <c r="C20" s="114">
        <f>C17+D19/F17</f>
        <v>3670.6</v>
      </c>
      <c r="F20" s="891"/>
      <c r="G20" s="891"/>
      <c r="H20" s="892"/>
      <c r="I20" s="892"/>
    </row>
    <row r="21" spans="6:9" ht="12.75">
      <c r="F21" s="892"/>
      <c r="G21" s="891"/>
      <c r="H21" s="892"/>
      <c r="I21" s="892"/>
    </row>
    <row r="22" spans="6:9" ht="12.75">
      <c r="F22" s="893"/>
      <c r="G22" s="894"/>
      <c r="H22" s="895"/>
      <c r="I22" s="892"/>
    </row>
    <row r="23" spans="2:9" ht="12.75">
      <c r="B23" s="1" t="s">
        <v>122</v>
      </c>
      <c r="F23" s="892"/>
      <c r="G23" s="892"/>
      <c r="H23" s="896"/>
      <c r="I23" s="892"/>
    </row>
    <row r="24" spans="3:9" ht="12.75">
      <c r="C24" s="2" t="s">
        <v>106</v>
      </c>
      <c r="D24" s="2" t="s">
        <v>107</v>
      </c>
      <c r="E24" s="2" t="s">
        <v>108</v>
      </c>
      <c r="F24" t="s">
        <v>120</v>
      </c>
      <c r="H24" s="108"/>
      <c r="I24" s="2"/>
    </row>
    <row r="25" spans="2:5" ht="12.75">
      <c r="B25" t="s">
        <v>105</v>
      </c>
      <c r="C25" s="8">
        <v>1644</v>
      </c>
      <c r="D25" s="8">
        <v>1658</v>
      </c>
      <c r="E25" s="5">
        <f>D25-C25</f>
        <v>14</v>
      </c>
    </row>
    <row r="26" spans="2:6" ht="12.75">
      <c r="B26" s="1" t="s">
        <v>104</v>
      </c>
      <c r="C26" s="61">
        <v>2460</v>
      </c>
      <c r="D26" s="61">
        <v>2480</v>
      </c>
      <c r="E26" s="5">
        <f>D26-C26</f>
        <v>20</v>
      </c>
      <c r="F26" s="6">
        <f>E25/E26</f>
        <v>0.7</v>
      </c>
    </row>
    <row r="28" spans="2:4" ht="12.75">
      <c r="B28" t="s">
        <v>109</v>
      </c>
      <c r="C28" s="5">
        <v>1651</v>
      </c>
      <c r="D28" s="5">
        <f>C28-C25</f>
        <v>7</v>
      </c>
    </row>
    <row r="29" spans="2:3" ht="12.75">
      <c r="B29" s="59" t="s">
        <v>104</v>
      </c>
      <c r="C29" s="60">
        <f>C26+D28/F26</f>
        <v>2470</v>
      </c>
    </row>
    <row r="30" ht="13.5" thickBot="1"/>
    <row r="31" spans="2:12" ht="13.5" thickBot="1">
      <c r="B31" s="31"/>
      <c r="C31" s="237" t="s">
        <v>195</v>
      </c>
      <c r="D31" s="31"/>
      <c r="E31" s="128"/>
      <c r="F31" s="116">
        <v>0.74</v>
      </c>
      <c r="G31" s="117"/>
      <c r="H31" s="118"/>
      <c r="I31" s="119"/>
      <c r="L31" s="31"/>
    </row>
    <row r="32" spans="2:12" ht="12.75">
      <c r="B32" s="31"/>
      <c r="C32" s="2"/>
      <c r="D32" s="2"/>
      <c r="H32" s="2"/>
      <c r="I32" s="2"/>
      <c r="L32" s="31"/>
    </row>
    <row r="33" spans="2:12" ht="12.75">
      <c r="B33" s="31"/>
      <c r="C33" s="127" t="s">
        <v>201</v>
      </c>
      <c r="D33" s="61"/>
      <c r="E33" s="121" t="s">
        <v>197</v>
      </c>
      <c r="F33" s="122">
        <f>'ds'!D15+0.5</f>
        <v>3.0044428772919605</v>
      </c>
      <c r="G33" s="123"/>
      <c r="H33" s="127" t="s">
        <v>196</v>
      </c>
      <c r="I33" s="61"/>
      <c r="J33" s="121" t="s">
        <v>197</v>
      </c>
      <c r="K33" s="122" t="e">
        <f>'[1]statement'!#REF!+0.5</f>
        <v>#REF!</v>
      </c>
      <c r="L33" s="31"/>
    </row>
    <row r="34" spans="2:12" ht="12.75">
      <c r="B34" s="31"/>
      <c r="C34" s="127" t="s">
        <v>202</v>
      </c>
      <c r="D34" s="61"/>
      <c r="E34" s="121" t="s">
        <v>199</v>
      </c>
      <c r="F34" s="122">
        <f>'ds'!D15-0.5</f>
        <v>2.0044428772919605</v>
      </c>
      <c r="G34" s="123"/>
      <c r="H34" s="127" t="s">
        <v>198</v>
      </c>
      <c r="I34" s="61"/>
      <c r="J34" s="121" t="s">
        <v>199</v>
      </c>
      <c r="K34" s="122" t="e">
        <f>'[1]statement'!#REF!-0.5</f>
        <v>#REF!</v>
      </c>
      <c r="L34" s="31"/>
    </row>
    <row r="35" spans="2:12" ht="12.75">
      <c r="B35" s="31"/>
      <c r="C35" s="128" t="s">
        <v>200</v>
      </c>
      <c r="D35" s="125">
        <f>D33-D34</f>
        <v>0</v>
      </c>
      <c r="E35" s="31"/>
      <c r="F35" s="31"/>
      <c r="G35" s="31"/>
      <c r="H35" s="128" t="s">
        <v>200</v>
      </c>
      <c r="I35" s="126"/>
      <c r="J35" s="31"/>
      <c r="K35" s="31"/>
      <c r="L35" s="31"/>
    </row>
    <row r="36" ht="12.75">
      <c r="H36" s="57"/>
    </row>
    <row r="38" spans="3:4" ht="12.75">
      <c r="C38" s="95"/>
      <c r="D38" s="95"/>
    </row>
    <row r="39" spans="3:4" ht="12.75">
      <c r="C39" s="95"/>
      <c r="D39" s="95"/>
    </row>
  </sheetData>
  <printOptions/>
  <pageMargins left="0.75" right="0.75" top="1" bottom="1" header="0.5" footer="0.5"/>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sheetPr codeName="Sheet2"/>
  <dimension ref="A1:J97"/>
  <sheetViews>
    <sheetView showGridLines="0" workbookViewId="0" topLeftCell="A1">
      <selection activeCell="H48" sqref="H48"/>
    </sheetView>
  </sheetViews>
  <sheetFormatPr defaultColWidth="9.140625" defaultRowHeight="12.75"/>
  <cols>
    <col min="1" max="1" width="5.140625" style="0" customWidth="1"/>
    <col min="2" max="2" width="16.7109375" style="2" customWidth="1"/>
    <col min="3" max="3" width="9.140625" style="2" customWidth="1"/>
    <col min="7" max="7" width="12.8515625" style="0" customWidth="1"/>
    <col min="8" max="8" width="13.00390625" style="0" bestFit="1" customWidth="1"/>
  </cols>
  <sheetData>
    <row r="1" spans="1:8" ht="12.75">
      <c r="A1" s="267"/>
      <c r="B1" s="898" t="s">
        <v>569</v>
      </c>
      <c r="C1" s="267"/>
      <c r="G1" s="57" t="s">
        <v>287</v>
      </c>
      <c r="H1" s="260">
        <f>0.5/70.9</f>
        <v>0.007052186177715091</v>
      </c>
    </row>
    <row r="2" spans="1:8" ht="12.75">
      <c r="A2" s="267"/>
      <c r="B2" s="267"/>
      <c r="C2" s="267"/>
      <c r="D2" s="897"/>
      <c r="G2" s="57" t="s">
        <v>288</v>
      </c>
      <c r="H2" s="260">
        <f>2.6/70.9</f>
        <v>0.036671368124118475</v>
      </c>
    </row>
    <row r="3" spans="1:8" ht="18">
      <c r="A3" s="267"/>
      <c r="B3" s="915" t="s">
        <v>570</v>
      </c>
      <c r="C3" s="267"/>
      <c r="G3" s="40" t="s">
        <v>41</v>
      </c>
      <c r="H3" s="53">
        <v>79.9</v>
      </c>
    </row>
    <row r="4" spans="1:8" ht="12.75">
      <c r="A4" s="267"/>
      <c r="B4" s="267"/>
      <c r="C4" s="267"/>
      <c r="G4" s="40" t="s">
        <v>116</v>
      </c>
      <c r="H4" s="54">
        <v>74</v>
      </c>
    </row>
    <row r="5" spans="1:8" ht="12.75">
      <c r="A5" s="267"/>
      <c r="B5" s="267"/>
      <c r="C5" s="267"/>
      <c r="G5" s="1" t="s">
        <v>117</v>
      </c>
      <c r="H5" s="261">
        <v>70.9</v>
      </c>
    </row>
    <row r="6" spans="2:3" ht="12.75">
      <c r="B6" s="1" t="s">
        <v>67</v>
      </c>
      <c r="C6" s="213">
        <f>SUM('Ballast &amp; Consumb'!E6:E19)</f>
        <v>52.809999999999995</v>
      </c>
    </row>
    <row r="7" spans="2:6" ht="12.75">
      <c r="B7" s="1" t="s">
        <v>68</v>
      </c>
      <c r="C7" s="214">
        <f>'Ballast &amp; Consumb'!E21+'Ballast &amp; Consumb'!E22</f>
        <v>12</v>
      </c>
      <c r="F7" s="39"/>
    </row>
    <row r="8" spans="2:6" ht="12.75">
      <c r="B8" s="4" t="s">
        <v>48</v>
      </c>
      <c r="C8" s="269">
        <v>1.5</v>
      </c>
      <c r="F8" s="72"/>
    </row>
    <row r="9" spans="2:6" ht="12.75">
      <c r="B9" s="1" t="s">
        <v>277</v>
      </c>
      <c r="C9" s="329">
        <f>SUM('Ballast &amp; Consumb'!E24:E28)</f>
        <v>35.529999999999994</v>
      </c>
      <c r="F9" s="72"/>
    </row>
    <row r="10" spans="2:6" ht="12.75">
      <c r="B10" s="4" t="s">
        <v>49</v>
      </c>
      <c r="C10" s="265">
        <f>5.5*'Ballast &amp; Consumb'!H25</f>
        <v>4.675</v>
      </c>
      <c r="F10" s="78"/>
    </row>
    <row r="11" spans="2:6" ht="12.75">
      <c r="B11" s="1" t="s">
        <v>111</v>
      </c>
      <c r="C11" s="264">
        <f>'Ballast &amp; Consumb'!E30+'Ballast &amp; Consumb'!E31</f>
        <v>1.5030000000000001</v>
      </c>
      <c r="F11" s="72"/>
    </row>
    <row r="12" ht="12.75">
      <c r="F12" s="78"/>
    </row>
    <row r="13" ht="12.75">
      <c r="D13" s="71"/>
    </row>
    <row r="14" spans="2:8" ht="12.75">
      <c r="B14" s="216" t="s">
        <v>46</v>
      </c>
      <c r="C14" s="220">
        <v>4080</v>
      </c>
      <c r="D14" s="200">
        <f>'stowage '!I22</f>
        <v>2947</v>
      </c>
      <c r="E14" s="5">
        <f>D14*H14</f>
        <v>2947</v>
      </c>
      <c r="G14" s="218" t="s">
        <v>125</v>
      </c>
      <c r="H14" s="219">
        <v>1</v>
      </c>
    </row>
    <row r="15" spans="2:8" ht="12.75">
      <c r="B15" s="105" t="s">
        <v>188</v>
      </c>
      <c r="C15" s="12"/>
      <c r="D15" s="73"/>
      <c r="E15" s="86" t="str">
        <f>F69</f>
        <v>winter freeboard not exeeded</v>
      </c>
      <c r="G15" s="57"/>
      <c r="H15" s="73"/>
    </row>
    <row r="16" spans="2:8" ht="12.75">
      <c r="B16" s="205" t="s">
        <v>186</v>
      </c>
      <c r="C16" s="15">
        <v>3220</v>
      </c>
      <c r="D16" s="203" t="s">
        <v>187</v>
      </c>
      <c r="E16" s="201">
        <f>C16-G16</f>
        <v>81.15700000000015</v>
      </c>
      <c r="F16" s="204" t="s">
        <v>185</v>
      </c>
      <c r="G16" s="201">
        <f>Stability!D26</f>
        <v>3138.843</v>
      </c>
      <c r="H16" s="73"/>
    </row>
    <row r="17" spans="2:8" ht="12.75">
      <c r="B17" s="104" t="s">
        <v>189</v>
      </c>
      <c r="C17" s="12"/>
      <c r="D17" s="73"/>
      <c r="E17" s="95"/>
      <c r="F17" s="38"/>
      <c r="G17" s="50"/>
      <c r="H17" s="73"/>
    </row>
    <row r="18" spans="2:8" ht="12.75">
      <c r="B18" s="104"/>
      <c r="C18" s="12"/>
      <c r="D18" s="73"/>
      <c r="E18" s="95"/>
      <c r="F18" s="38" t="s">
        <v>301</v>
      </c>
      <c r="G18" s="266">
        <f>C11+C9+C7+C6+Stability!D25+Stability!D24</f>
        <v>191.843</v>
      </c>
      <c r="H18" s="73"/>
    </row>
    <row r="19" spans="2:3" ht="12.75">
      <c r="B19" s="754">
        <v>2</v>
      </c>
      <c r="C19" s="64">
        <f>IF(B19=2,1,1.025)</f>
        <v>1</v>
      </c>
    </row>
    <row r="20" spans="2:6" ht="12.75">
      <c r="B20" s="39" t="s">
        <v>50</v>
      </c>
      <c r="C20" s="899">
        <f>Stability!D28</f>
        <v>4074.843</v>
      </c>
      <c r="D20" s="52"/>
      <c r="E20" s="4"/>
      <c r="F20" s="4"/>
    </row>
    <row r="21" spans="2:4" ht="12.75">
      <c r="B21" s="51" t="s">
        <v>167</v>
      </c>
      <c r="C21" s="900">
        <f>database!W19</f>
        <v>4051.8429999999994</v>
      </c>
      <c r="D21" s="64">
        <v>3</v>
      </c>
    </row>
    <row r="22" spans="2:8" ht="12.75">
      <c r="B22" s="39" t="s">
        <v>51</v>
      </c>
      <c r="C22" s="906">
        <f>database!$S$3</f>
        <v>5.615109411764713</v>
      </c>
      <c r="D22" s="70" t="s">
        <v>53</v>
      </c>
      <c r="F22" s="14"/>
      <c r="G22" s="95"/>
      <c r="H22" s="95"/>
    </row>
    <row r="23" spans="2:10" ht="12.75">
      <c r="B23" s="39" t="s">
        <v>52</v>
      </c>
      <c r="C23" s="907">
        <f>IF(B19=1,database!W25,database!W31)</f>
        <v>8.3</v>
      </c>
      <c r="D23" s="68" t="s">
        <v>123</v>
      </c>
      <c r="F23" s="95"/>
      <c r="G23" s="12"/>
      <c r="H23" s="12"/>
      <c r="I23" s="62" t="s">
        <v>108</v>
      </c>
      <c r="J23" s="49" t="s">
        <v>120</v>
      </c>
    </row>
    <row r="24" spans="2:10" ht="12.75">
      <c r="B24" s="39" t="s">
        <v>32</v>
      </c>
      <c r="C24" s="908">
        <f>database!$W$37</f>
        <v>-1.8685547058823526</v>
      </c>
      <c r="D24" s="64">
        <v>6</v>
      </c>
      <c r="F24" s="909"/>
      <c r="G24" s="910"/>
      <c r="H24" s="910"/>
      <c r="I24" s="48">
        <f>H24-G24</f>
        <v>0</v>
      </c>
      <c r="J24" s="48"/>
    </row>
    <row r="25" spans="2:10" ht="12.75">
      <c r="B25" s="39" t="s">
        <v>31</v>
      </c>
      <c r="C25" s="908">
        <f>database!$W$43</f>
        <v>-0.4797773529411763</v>
      </c>
      <c r="D25" s="64">
        <v>7</v>
      </c>
      <c r="F25" s="911"/>
      <c r="G25" s="910"/>
      <c r="H25" s="910"/>
      <c r="I25" s="48">
        <f>H25-G25</f>
        <v>0</v>
      </c>
      <c r="J25" s="47" t="e">
        <f>I24/I25</f>
        <v>#DIV/0!</v>
      </c>
    </row>
    <row r="26" spans="2:10" ht="12.75">
      <c r="B26" s="39" t="s">
        <v>133</v>
      </c>
      <c r="C26" s="908">
        <f>IF(B19=1,database!W49,database!W55)</f>
        <v>40.17554705882353</v>
      </c>
      <c r="D26" s="69" t="s">
        <v>124</v>
      </c>
      <c r="I26" s="49"/>
      <c r="J26" s="49"/>
    </row>
    <row r="27" spans="2:10" ht="12.75">
      <c r="B27" s="39" t="s">
        <v>113</v>
      </c>
      <c r="C27" s="908">
        <f>database!$W$67</f>
        <v>76.32445294117647</v>
      </c>
      <c r="D27" s="64">
        <v>14</v>
      </c>
      <c r="F27" s="912"/>
      <c r="G27" s="913"/>
      <c r="H27" s="48">
        <f>G27-G24</f>
        <v>0</v>
      </c>
      <c r="I27" s="49"/>
      <c r="J27" s="49"/>
    </row>
    <row r="28" spans="2:7" ht="12.75">
      <c r="B28" s="39" t="s">
        <v>115</v>
      </c>
      <c r="C28" s="907">
        <f>database!$W$61</f>
        <v>5.457554705882353</v>
      </c>
      <c r="D28" s="64">
        <v>13</v>
      </c>
      <c r="F28" s="914"/>
      <c r="G28" s="77"/>
    </row>
    <row r="29" spans="2:7" ht="12.75">
      <c r="B29" s="39"/>
      <c r="C29" s="73"/>
      <c r="D29" s="64"/>
      <c r="F29" s="67"/>
      <c r="G29" s="77"/>
    </row>
    <row r="30" spans="1:8" ht="13.5" thickBot="1">
      <c r="A30" s="83"/>
      <c r="B30" s="944" t="s">
        <v>168</v>
      </c>
      <c r="C30" s="945"/>
      <c r="D30" s="83"/>
      <c r="E30" s="83"/>
      <c r="F30" s="83"/>
      <c r="G30" s="83"/>
      <c r="H30" s="83"/>
    </row>
    <row r="31" spans="2:9" ht="13.5" thickTop="1">
      <c r="B31" s="39"/>
      <c r="C31" s="73"/>
      <c r="D31" s="64"/>
      <c r="F31" s="67"/>
      <c r="G31" s="77"/>
      <c r="I31" s="95"/>
    </row>
    <row r="32" spans="2:9" ht="12.75">
      <c r="B32" s="39"/>
      <c r="C32" s="73"/>
      <c r="D32" s="64"/>
      <c r="F32" s="347"/>
      <c r="G32" s="348"/>
      <c r="H32" s="348"/>
      <c r="I32" s="349"/>
    </row>
    <row r="33" spans="1:10" ht="12.75">
      <c r="A33" s="941" t="s">
        <v>135</v>
      </c>
      <c r="B33" s="941"/>
      <c r="F33" s="347"/>
      <c r="G33" s="348"/>
      <c r="H33" s="348"/>
      <c r="I33" s="349"/>
      <c r="J33" s="47" t="e">
        <f>I32/I33</f>
        <v>#DIV/0!</v>
      </c>
    </row>
    <row r="34" spans="2:9" ht="12.75">
      <c r="B34" s="75" t="s">
        <v>130</v>
      </c>
      <c r="C34" s="8">
        <f>C19</f>
        <v>1</v>
      </c>
      <c r="F34" s="350"/>
      <c r="G34" s="349"/>
      <c r="H34" s="349"/>
      <c r="I34" s="349"/>
    </row>
    <row r="35" spans="2:9" ht="12.75">
      <c r="B35" s="75" t="s">
        <v>131</v>
      </c>
      <c r="C35" s="8">
        <f>'Ballast &amp; Consumb'!D83</f>
        <v>1.01</v>
      </c>
      <c r="F35" s="349"/>
      <c r="G35" s="351"/>
      <c r="H35" s="349"/>
      <c r="I35" s="349"/>
    </row>
    <row r="36" spans="2:9" ht="12.75">
      <c r="B36" s="74" t="s">
        <v>126</v>
      </c>
      <c r="F36" s="352"/>
      <c r="G36" s="348"/>
      <c r="H36" s="349"/>
      <c r="I36" s="349"/>
    </row>
    <row r="37" spans="3:8" ht="12.75">
      <c r="C37" s="66" t="s">
        <v>104</v>
      </c>
      <c r="D37" s="2" t="s">
        <v>128</v>
      </c>
      <c r="E37" t="s">
        <v>134</v>
      </c>
      <c r="F37" s="2" t="s">
        <v>31</v>
      </c>
      <c r="G37" s="2" t="s">
        <v>133</v>
      </c>
      <c r="H37" t="s">
        <v>32</v>
      </c>
    </row>
    <row r="38" spans="2:8" ht="12.75">
      <c r="B38" s="3" t="s">
        <v>127</v>
      </c>
      <c r="C38" s="341">
        <f>C22</f>
        <v>5.615109411764713</v>
      </c>
      <c r="D38" s="208">
        <f>C21</f>
        <v>4051.8429999999994</v>
      </c>
      <c r="E38" s="208">
        <f>C20</f>
        <v>4074.843</v>
      </c>
      <c r="F38" s="207">
        <f>C25</f>
        <v>-0.4797773529411763</v>
      </c>
      <c r="G38" s="206">
        <f>C26</f>
        <v>40.17554705882353</v>
      </c>
      <c r="H38" s="100"/>
    </row>
    <row r="39" spans="2:8" ht="12.75">
      <c r="B39" s="3" t="s">
        <v>129</v>
      </c>
      <c r="C39" s="353">
        <f>database!AB13</f>
        <v>5.566736167734427</v>
      </c>
      <c r="D39" s="476">
        <f>C34*D38/C35</f>
        <v>4011.725742574257</v>
      </c>
      <c r="E39" s="5"/>
      <c r="F39" s="471">
        <f>database!AB19</f>
        <v>-0.46602085032032603</v>
      </c>
      <c r="H39" s="477">
        <f>database!AB24</f>
        <v>-1.842704892253931</v>
      </c>
    </row>
    <row r="40" ht="6.75" customHeight="1">
      <c r="C40" s="66"/>
    </row>
    <row r="41" spans="3:7" ht="6" customHeight="1">
      <c r="C41" s="66"/>
      <c r="D41" s="472"/>
      <c r="F41" s="14"/>
      <c r="G41" s="76"/>
    </row>
    <row r="42" ht="6.75" customHeight="1"/>
    <row r="43" spans="2:7" ht="12.75">
      <c r="B43" s="3" t="s">
        <v>132</v>
      </c>
      <c r="C43" s="271">
        <f>E38*(F38-F39)/(G38*100)</f>
        <v>-0.013952663376799538</v>
      </c>
      <c r="D43" t="s">
        <v>96</v>
      </c>
      <c r="F43" s="38" t="s">
        <v>141</v>
      </c>
      <c r="G43" s="272">
        <f>Stability!G38</f>
        <v>5.617130838367963</v>
      </c>
    </row>
    <row r="44" spans="2:7" ht="13.5" thickBot="1">
      <c r="B44" s="2" t="s">
        <v>136</v>
      </c>
      <c r="C44" s="239">
        <f>Stability!G32</f>
        <v>-0.0038484983496905835</v>
      </c>
      <c r="F44" s="38" t="s">
        <v>142</v>
      </c>
      <c r="G44" s="479">
        <f>Stability!G39</f>
        <v>5.613282340018272</v>
      </c>
    </row>
    <row r="45" spans="2:7" ht="13.5" thickBot="1">
      <c r="B45" s="3" t="s">
        <v>137</v>
      </c>
      <c r="C45" s="272">
        <f>C44+C43</f>
        <v>-0.01780116172649012</v>
      </c>
      <c r="F45" s="263" t="s">
        <v>290</v>
      </c>
      <c r="G45" s="478">
        <f>Stability!B40</f>
        <v>5.615109411764713</v>
      </c>
    </row>
    <row r="47" spans="6:8" ht="12.75">
      <c r="F47" s="38" t="s">
        <v>143</v>
      </c>
      <c r="G47" s="480">
        <f>C39-H47</f>
        <v>5.576080022757147</v>
      </c>
      <c r="H47" s="345">
        <f>C45*(H4/2-H39)/H4</f>
        <v>-0.009343855022720829</v>
      </c>
    </row>
    <row r="48" spans="6:8" ht="13.5" thickBot="1">
      <c r="F48" s="38" t="s">
        <v>144</v>
      </c>
      <c r="G48" s="481">
        <f>C39+H48</f>
        <v>5.558285079364617</v>
      </c>
      <c r="H48" s="345">
        <f>C45*(Initial!$H$4/2+Stability!$B$39)/Initial!$H$4</f>
        <v>-0.008451088369809845</v>
      </c>
    </row>
    <row r="49" spans="2:7" ht="13.5" thickBot="1">
      <c r="B49" s="263" t="s">
        <v>291</v>
      </c>
      <c r="C49" s="262">
        <f>G49-G45</f>
        <v>-0.04837324403028642</v>
      </c>
      <c r="F49" s="263" t="s">
        <v>289</v>
      </c>
      <c r="G49" s="478">
        <f>C39</f>
        <v>5.566736167734427</v>
      </c>
    </row>
    <row r="50" spans="1:8" ht="13.5" thickBot="1">
      <c r="A50" s="83"/>
      <c r="B50" s="84"/>
      <c r="C50" s="84"/>
      <c r="D50" s="83"/>
      <c r="E50" s="83"/>
      <c r="F50" s="83"/>
      <c r="G50" s="83"/>
      <c r="H50" s="83"/>
    </row>
    <row r="51" ht="13.5" thickTop="1"/>
    <row r="54" spans="2:7" ht="12.75">
      <c r="B54" s="217" t="s">
        <v>145</v>
      </c>
      <c r="C54" s="217" t="s">
        <v>146</v>
      </c>
      <c r="D54" s="217" t="s">
        <v>147</v>
      </c>
      <c r="E54" s="217" t="s">
        <v>148</v>
      </c>
      <c r="F54" s="217" t="s">
        <v>21</v>
      </c>
      <c r="G54" s="217" t="s">
        <v>149</v>
      </c>
    </row>
    <row r="55" spans="2:7" ht="12.75">
      <c r="B55" s="149">
        <v>1</v>
      </c>
      <c r="C55" s="149" t="s">
        <v>150</v>
      </c>
      <c r="D55" s="149">
        <v>3753.3</v>
      </c>
      <c r="E55" s="149">
        <v>132540</v>
      </c>
      <c r="F55" s="149">
        <v>1.24</v>
      </c>
      <c r="G55" s="149">
        <v>4.48</v>
      </c>
    </row>
    <row r="56" spans="2:7" ht="12.75">
      <c r="B56" s="149">
        <v>2</v>
      </c>
      <c r="C56" s="149" t="s">
        <v>151</v>
      </c>
      <c r="D56" s="149">
        <v>3948.1</v>
      </c>
      <c r="E56" s="149">
        <v>139420</v>
      </c>
      <c r="F56" s="149">
        <v>2.61</v>
      </c>
      <c r="G56" s="149">
        <v>4.49</v>
      </c>
    </row>
    <row r="57" spans="4:5" ht="12.75">
      <c r="D57" s="2"/>
      <c r="E57" s="2"/>
    </row>
    <row r="59" spans="1:5" ht="15.75">
      <c r="A59" s="212"/>
      <c r="B59" s="946" t="s">
        <v>152</v>
      </c>
      <c r="C59" s="946"/>
      <c r="D59" s="946"/>
      <c r="E59" s="946"/>
    </row>
    <row r="61" spans="2:5" ht="12.75">
      <c r="B61" s="80"/>
      <c r="C61" s="79" t="s">
        <v>29</v>
      </c>
      <c r="D61" s="224">
        <f>Stability!D28</f>
        <v>4074.843</v>
      </c>
      <c r="E61" s="82" t="s">
        <v>153</v>
      </c>
    </row>
    <row r="62" spans="2:5" ht="12.75">
      <c r="B62" s="80"/>
      <c r="C62" s="79" t="s">
        <v>165</v>
      </c>
      <c r="D62" s="107">
        <f>C21</f>
        <v>4051.8429999999994</v>
      </c>
      <c r="E62" s="82" t="s">
        <v>166</v>
      </c>
    </row>
    <row r="63" spans="2:5" ht="12.75">
      <c r="B63" s="80"/>
      <c r="C63" s="79" t="s">
        <v>34</v>
      </c>
      <c r="D63" s="224">
        <f>Stability!D26</f>
        <v>3138.843</v>
      </c>
      <c r="E63" s="82" t="s">
        <v>153</v>
      </c>
    </row>
    <row r="64" spans="2:5" ht="12.75">
      <c r="B64" s="80"/>
      <c r="C64" s="79" t="s">
        <v>154</v>
      </c>
      <c r="D64" s="226">
        <f>Stability!D23</f>
        <v>2947</v>
      </c>
      <c r="E64" s="82"/>
    </row>
    <row r="65" spans="2:7" ht="12.75">
      <c r="B65" s="80"/>
      <c r="C65" s="79" t="s">
        <v>125</v>
      </c>
      <c r="D65" s="215">
        <v>44.2</v>
      </c>
      <c r="E65" s="82"/>
      <c r="F65" s="1" t="s">
        <v>155</v>
      </c>
      <c r="G65" s="81"/>
    </row>
    <row r="66" spans="2:5" ht="12.75">
      <c r="B66" s="80"/>
      <c r="C66" s="79" t="s">
        <v>156</v>
      </c>
      <c r="D66" s="107">
        <f>C6</f>
        <v>52.809999999999995</v>
      </c>
      <c r="E66" s="82" t="s">
        <v>153</v>
      </c>
    </row>
    <row r="67" spans="2:5" ht="12.75">
      <c r="B67" s="80"/>
      <c r="C67" s="79" t="s">
        <v>157</v>
      </c>
      <c r="D67" s="209">
        <f>Stability!G41</f>
        <v>0</v>
      </c>
      <c r="E67" s="82" t="s">
        <v>158</v>
      </c>
    </row>
    <row r="68" spans="2:5" ht="12.75">
      <c r="B68" s="80"/>
      <c r="C68" s="79" t="s">
        <v>159</v>
      </c>
      <c r="D68" s="209">
        <f>Stability!G42</f>
        <v>0</v>
      </c>
      <c r="E68" s="82" t="s">
        <v>158</v>
      </c>
    </row>
    <row r="69" spans="2:8" ht="12.75">
      <c r="B69" s="80"/>
      <c r="C69" s="79" t="s">
        <v>160</v>
      </c>
      <c r="D69" s="209">
        <f>(D67+D68)/2</f>
        <v>0</v>
      </c>
      <c r="E69" s="82" t="s">
        <v>158</v>
      </c>
      <c r="F69" s="942" t="str">
        <f>IF(D69&gt;5.475,"Chek the Load Line Freeboard !!!","winter freeboard not exeeded")</f>
        <v>winter freeboard not exeeded</v>
      </c>
      <c r="G69" s="942"/>
      <c r="H69" s="942"/>
    </row>
    <row r="70" spans="2:8" ht="12.75">
      <c r="B70" s="80"/>
      <c r="C70" s="79" t="s">
        <v>161</v>
      </c>
      <c r="D70" s="225">
        <f>D68-D67</f>
        <v>0</v>
      </c>
      <c r="E70" s="82" t="s">
        <v>158</v>
      </c>
      <c r="F70" s="943" t="str">
        <f>IF(D69&gt;5.59,"Summer freeboard (SW) exeeded",".")</f>
        <v>.</v>
      </c>
      <c r="G70" s="943"/>
      <c r="H70" s="943"/>
    </row>
    <row r="71" spans="2:6" ht="12.75">
      <c r="B71" s="80"/>
      <c r="C71" s="79" t="s">
        <v>162</v>
      </c>
      <c r="D71" s="210">
        <f>Stability!B42</f>
        <v>1.2837693845828562</v>
      </c>
      <c r="E71" s="82" t="s">
        <v>158</v>
      </c>
      <c r="F71" s="85"/>
    </row>
    <row r="72" spans="2:5" ht="12.75">
      <c r="B72" s="80"/>
      <c r="C72" s="79" t="s">
        <v>163</v>
      </c>
      <c r="D72" s="211">
        <f>0.7978*13/SQRT(D71)</f>
        <v>9.153641029837821</v>
      </c>
      <c r="E72" s="82" t="s">
        <v>164</v>
      </c>
    </row>
    <row r="97" ht="12.75"/>
  </sheetData>
  <mergeCells count="5">
    <mergeCell ref="A33:B33"/>
    <mergeCell ref="F69:H69"/>
    <mergeCell ref="F70:H70"/>
    <mergeCell ref="B30:C30"/>
    <mergeCell ref="B59:E59"/>
  </mergeCells>
  <conditionalFormatting sqref="D69">
    <cfRule type="cellIs" priority="1" dxfId="0" operator="greaterThanOrEqual" stopIfTrue="1">
      <formula>5.475</formula>
    </cfRule>
  </conditionalFormatting>
  <conditionalFormatting sqref="F69:H69">
    <cfRule type="cellIs" priority="2" dxfId="7" operator="equal" stopIfTrue="1">
      <formula>"winter freeboard not exeeded"</formula>
    </cfRule>
  </conditionalFormatting>
  <conditionalFormatting sqref="F70:H70">
    <cfRule type="cellIs" priority="3" dxfId="0" operator="equal" stopIfTrue="1">
      <formula>"Summer freeboard (SW) exeeded"</formula>
    </cfRule>
  </conditionalFormatting>
  <conditionalFormatting sqref="E15">
    <cfRule type="cellIs" priority="4" dxfId="3" operator="equal" stopIfTrue="1">
      <formula>"winter freeboard not exeeded"</formula>
    </cfRule>
  </conditionalFormatting>
  <hyperlinks>
    <hyperlink ref="B30:C30" location="A97" display="A97"/>
    <hyperlink ref="B14" location="'stowage '!A1" display="'stowage '!A1"/>
  </hyperlinks>
  <printOptions/>
  <pageMargins left="0.75" right="0.75" top="1" bottom="1" header="0.5" footer="0.5"/>
  <pageSetup horizontalDpi="360" verticalDpi="360" orientation="portrait" paperSize="9" r:id="rId3"/>
  <legacyDrawing r:id="rId2"/>
</worksheet>
</file>

<file path=xl/worksheets/sheet7.xml><?xml version="1.0" encoding="utf-8"?>
<worksheet xmlns="http://schemas.openxmlformats.org/spreadsheetml/2006/main" xmlns:r="http://schemas.openxmlformats.org/officeDocument/2006/relationships">
  <sheetPr codeName="Sheet5"/>
  <dimension ref="A1:H41"/>
  <sheetViews>
    <sheetView workbookViewId="0" topLeftCell="A1">
      <selection activeCell="H7" sqref="H7"/>
    </sheetView>
  </sheetViews>
  <sheetFormatPr defaultColWidth="9.140625" defaultRowHeight="12.75"/>
  <cols>
    <col min="4" max="4" width="12.57421875" style="0" customWidth="1"/>
    <col min="5" max="5" width="6.7109375" style="0" customWidth="1"/>
    <col min="8" max="8" width="13.28125" style="0" customWidth="1"/>
  </cols>
  <sheetData>
    <row r="1" spans="1:8" ht="18.75" thickBot="1">
      <c r="A1" s="16" t="s">
        <v>348</v>
      </c>
      <c r="B1" s="17"/>
      <c r="C1" s="18"/>
      <c r="D1" s="518"/>
      <c r="E1" s="21"/>
      <c r="F1" s="523" t="s">
        <v>299</v>
      </c>
      <c r="G1" s="947"/>
      <c r="H1" s="948"/>
    </row>
    <row r="2" spans="1:8" ht="10.5" customHeight="1">
      <c r="A2" s="519"/>
      <c r="B2" s="520"/>
      <c r="C2" s="521"/>
      <c r="D2" s="522"/>
      <c r="E2" s="519"/>
      <c r="F2" s="95"/>
      <c r="G2" s="522"/>
      <c r="H2" s="521"/>
    </row>
    <row r="3" spans="3:8" ht="12.75">
      <c r="C3" s="1" t="s">
        <v>346</v>
      </c>
      <c r="D3" s="81"/>
      <c r="G3" s="1" t="s">
        <v>347</v>
      </c>
      <c r="H3" s="81"/>
    </row>
    <row r="4" spans="2:7" ht="12.75">
      <c r="B4" t="s">
        <v>70</v>
      </c>
      <c r="C4" t="s">
        <v>71</v>
      </c>
      <c r="F4" t="s">
        <v>70</v>
      </c>
      <c r="G4" t="s">
        <v>71</v>
      </c>
    </row>
    <row r="5" spans="1:8" ht="12.75">
      <c r="A5" s="1" t="s">
        <v>30</v>
      </c>
      <c r="B5" s="517">
        <f>wk2!C14</f>
        <v>1.9</v>
      </c>
      <c r="C5" s="111">
        <f>wk2!D14</f>
        <v>1.9</v>
      </c>
      <c r="D5" s="112">
        <f>(B5+C5)/2</f>
        <v>1.9</v>
      </c>
      <c r="F5" s="23">
        <f>wk2!H14</f>
        <v>5.41</v>
      </c>
      <c r="G5" s="23">
        <f>wk2!I14</f>
        <v>5.41</v>
      </c>
      <c r="H5" s="5">
        <f>(F5+G5)/2</f>
        <v>5.41</v>
      </c>
    </row>
    <row r="6" spans="1:8" ht="12.75">
      <c r="A6" s="1" t="s">
        <v>72</v>
      </c>
      <c r="B6" s="109"/>
      <c r="D6" s="24">
        <f>(0.5*(D8-D5))/70.9</f>
        <v>0.00846262341325811</v>
      </c>
      <c r="F6" s="25"/>
      <c r="H6" s="5">
        <f>(0.5*(H8-H5))/70.9</f>
        <v>0.002538787023977429</v>
      </c>
    </row>
    <row r="7" spans="1:8" ht="12.75">
      <c r="A7" s="1" t="s">
        <v>73</v>
      </c>
      <c r="D7" s="5">
        <f>D5-D6</f>
        <v>1.8915373765867418</v>
      </c>
      <c r="H7" s="5">
        <f>H5-H6</f>
        <v>5.407461212976023</v>
      </c>
    </row>
    <row r="8" spans="1:8" ht="12.75">
      <c r="A8" s="1" t="s">
        <v>74</v>
      </c>
      <c r="B8" s="111">
        <f>wk2!C16</f>
        <v>3.1</v>
      </c>
      <c r="C8" s="111">
        <f>wk2!D16</f>
        <v>3.1</v>
      </c>
      <c r="D8" s="55">
        <f>(B8+C8)/2</f>
        <v>3.1</v>
      </c>
      <c r="F8" s="23">
        <f>wk2!H16</f>
        <v>5.77</v>
      </c>
      <c r="G8" s="23">
        <f>wk2!I16</f>
        <v>5.77</v>
      </c>
      <c r="H8" s="5">
        <f>(F8+G8)/2</f>
        <v>5.77</v>
      </c>
    </row>
    <row r="9" spans="1:8" ht="12.75">
      <c r="A9" s="1" t="s">
        <v>72</v>
      </c>
      <c r="D9" s="5">
        <f>(2.6*(D8-D5))/70.9</f>
        <v>0.04400564174894218</v>
      </c>
      <c r="H9" s="5">
        <f>(2.6*(H8-H5))/70.9</f>
        <v>0.01320169252468263</v>
      </c>
    </row>
    <row r="10" spans="1:8" ht="12.75">
      <c r="A10" s="1" t="s">
        <v>75</v>
      </c>
      <c r="D10" s="5">
        <f>D8+D9</f>
        <v>3.1440056417489424</v>
      </c>
      <c r="H10" s="5">
        <f>H8+H9</f>
        <v>5.783201692524682</v>
      </c>
    </row>
    <row r="11" spans="1:8" ht="12.75">
      <c r="A11" s="1" t="s">
        <v>76</v>
      </c>
      <c r="D11" s="5">
        <f>D10-D7</f>
        <v>1.2524682651622006</v>
      </c>
      <c r="H11" s="5">
        <f>H10-H7</f>
        <v>0.37574047954865897</v>
      </c>
    </row>
    <row r="12" spans="1:8" ht="12.75">
      <c r="A12" s="1" t="s">
        <v>77</v>
      </c>
      <c r="B12" s="111">
        <f>wk2!C15</f>
        <v>2.5</v>
      </c>
      <c r="C12" s="111">
        <f>wk2!D15</f>
        <v>2.5</v>
      </c>
      <c r="D12" s="55">
        <f>(B12+C12)/2</f>
        <v>2.5</v>
      </c>
      <c r="F12" s="23">
        <f>wk2!H15</f>
        <v>5.591</v>
      </c>
      <c r="G12" s="23">
        <f>wk2!I15</f>
        <v>5.591</v>
      </c>
      <c r="H12" s="5">
        <f>(F12+G12)/2</f>
        <v>5.591</v>
      </c>
    </row>
    <row r="13" spans="1:8" ht="12.75">
      <c r="A13" s="1" t="s">
        <v>78</v>
      </c>
      <c r="D13" s="5">
        <f>(D7+D10)/2</f>
        <v>2.517771509167842</v>
      </c>
      <c r="H13" s="5">
        <f>(H7+H10)/2</f>
        <v>5.595331452750353</v>
      </c>
    </row>
    <row r="14" spans="1:8" ht="12.75">
      <c r="A14" s="1" t="s">
        <v>79</v>
      </c>
      <c r="D14" s="5">
        <f>(D13+D12)/2</f>
        <v>2.508885754583921</v>
      </c>
      <c r="H14" s="5">
        <f>(H13+H12)/2</f>
        <v>5.593165726375176</v>
      </c>
    </row>
    <row r="15" spans="1:8" ht="12.75">
      <c r="A15" s="1" t="s">
        <v>80</v>
      </c>
      <c r="D15" s="56">
        <f>(D14+D12)/2</f>
        <v>2.5044428772919605</v>
      </c>
      <c r="H15" s="26">
        <f>(H14+H12)/2</f>
        <v>5.5920828631875885</v>
      </c>
    </row>
    <row r="16" spans="1:8" ht="12.75">
      <c r="A16" s="1" t="s">
        <v>81</v>
      </c>
      <c r="D16" s="23">
        <f>wk2!C60</f>
        <v>1717.3321579689703</v>
      </c>
      <c r="H16" s="23">
        <f>wk2!H60</f>
        <v>4157.270433709444</v>
      </c>
    </row>
    <row r="17" spans="1:7" ht="12.75">
      <c r="A17" s="1"/>
      <c r="B17" s="5" t="s">
        <v>193</v>
      </c>
      <c r="C17" s="27">
        <f>wk2!C61</f>
        <v>7.4</v>
      </c>
      <c r="G17" s="27">
        <f>wk2!H61</f>
        <v>8.5</v>
      </c>
    </row>
    <row r="18" spans="1:8" ht="12.75">
      <c r="A18" s="1" t="s">
        <v>82</v>
      </c>
      <c r="B18" s="5" t="s">
        <v>192</v>
      </c>
      <c r="C18" s="27">
        <f>wk2!C62</f>
        <v>-0.03822143864598023</v>
      </c>
      <c r="D18" s="5">
        <f>(D11*C18*C17*100)/74</f>
        <v>-0.4787113895293435</v>
      </c>
      <c r="G18" s="27">
        <f>wk2!H62</f>
        <v>-1.8566455747531696</v>
      </c>
      <c r="H18" s="5">
        <f>(H11*G18*G17*100)/74</f>
        <v>-8.013167078624376</v>
      </c>
    </row>
    <row r="19" spans="1:8" ht="12.75">
      <c r="A19" s="1" t="s">
        <v>83</v>
      </c>
      <c r="B19" s="456" t="s">
        <v>194</v>
      </c>
      <c r="C19" s="129">
        <f>wk2!C64</f>
        <v>2.6999999999999993</v>
      </c>
      <c r="D19" s="5">
        <f>IF(D11&gt;0.74,D11*D11*50*C19/74,0)</f>
        <v>2.8617751615835894</v>
      </c>
      <c r="G19" s="27">
        <f>wk2!H64</f>
        <v>5.939585684062301</v>
      </c>
      <c r="H19" s="5">
        <f>IF(H11&gt;0.74,H11*H11*50*G19/74,0)</f>
        <v>0</v>
      </c>
    </row>
    <row r="20" spans="1:8" ht="12.75">
      <c r="A20" s="1" t="s">
        <v>84</v>
      </c>
      <c r="D20" s="185">
        <f>IF(D11&gt;0,D16-D18+D19,D16+D18+D19)</f>
        <v>1720.6726445200832</v>
      </c>
      <c r="E20" s="2"/>
      <c r="H20" s="185">
        <f>IF(H11&gt;0,H16-H18+H19,H16+H18+H19)</f>
        <v>4165.283600788068</v>
      </c>
    </row>
    <row r="21" spans="1:8" ht="12.75">
      <c r="A21" s="1" t="s">
        <v>85</v>
      </c>
      <c r="B21" t="s">
        <v>86</v>
      </c>
      <c r="C21" s="27">
        <f>wk2!C19</f>
        <v>1</v>
      </c>
      <c r="D21" s="28">
        <f>D20-D22</f>
        <v>41.967625476099556</v>
      </c>
      <c r="G21" s="27">
        <f>wk2!H19</f>
        <v>1</v>
      </c>
      <c r="H21" s="5">
        <f>H20-H22</f>
        <v>101.59228294605009</v>
      </c>
    </row>
    <row r="22" spans="1:8" ht="12.75">
      <c r="A22" s="1" t="s">
        <v>87</v>
      </c>
      <c r="C22" s="5"/>
      <c r="D22" s="29">
        <f>(D20*C21)/1.025</f>
        <v>1678.7050190439836</v>
      </c>
      <c r="H22" s="26">
        <f>(H20*G21)/1.025</f>
        <v>4063.6913178420177</v>
      </c>
    </row>
    <row r="23" spans="1:8" ht="12.75">
      <c r="A23" s="1" t="s">
        <v>88</v>
      </c>
      <c r="B23" s="130"/>
      <c r="C23" s="130"/>
      <c r="D23" s="5">
        <f>wk2!E49</f>
        <v>53.379999999999995</v>
      </c>
      <c r="F23" s="130"/>
      <c r="G23" s="130">
        <v>84.4</v>
      </c>
      <c r="H23" s="5">
        <f>wk2!J49</f>
        <v>35.529999999999994</v>
      </c>
    </row>
    <row r="24" spans="1:8" ht="12.75">
      <c r="A24" s="1" t="s">
        <v>89</v>
      </c>
      <c r="B24" s="130"/>
      <c r="C24" s="130"/>
      <c r="D24" s="23">
        <f>wk2!E53</f>
        <v>2.22</v>
      </c>
      <c r="F24" s="130"/>
      <c r="G24" s="130"/>
      <c r="H24" s="5">
        <f>wk2!J53</f>
        <v>1.3464</v>
      </c>
    </row>
    <row r="25" spans="1:8" ht="12.75">
      <c r="A25" s="1" t="s">
        <v>90</v>
      </c>
      <c r="B25" s="130"/>
      <c r="C25" s="130"/>
      <c r="D25" s="5">
        <f>wk2!E39</f>
        <v>606.55</v>
      </c>
      <c r="F25" s="130"/>
      <c r="G25" s="130"/>
      <c r="H25" s="112">
        <f>wk2!J39</f>
        <v>52.809999999999995</v>
      </c>
    </row>
    <row r="26" spans="1:8" ht="12.75">
      <c r="A26" s="1" t="s">
        <v>30</v>
      </c>
      <c r="B26" s="130"/>
      <c r="C26" s="130"/>
      <c r="D26" s="23">
        <f>wk2!E43</f>
        <v>20</v>
      </c>
      <c r="F26" s="130"/>
      <c r="G26" s="130"/>
      <c r="H26" s="23">
        <f>wk2!J43</f>
        <v>12</v>
      </c>
    </row>
    <row r="27" spans="1:8" ht="12.75">
      <c r="A27" s="1" t="s">
        <v>203</v>
      </c>
      <c r="D27" s="5">
        <v>936</v>
      </c>
      <c r="H27" s="5">
        <v>936</v>
      </c>
    </row>
    <row r="28" spans="1:8" ht="12.75">
      <c r="A28" s="1" t="s">
        <v>92</v>
      </c>
      <c r="D28" s="30">
        <f>D29</f>
        <v>60.55501904398352</v>
      </c>
      <c r="E28" s="31"/>
      <c r="G28" s="32"/>
      <c r="H28" s="30">
        <f>D22-D23-D24-D25-D26-D27</f>
        <v>60.55501904398352</v>
      </c>
    </row>
    <row r="29" spans="1:8" ht="12.75">
      <c r="A29" s="1" t="s">
        <v>93</v>
      </c>
      <c r="B29" t="s">
        <v>94</v>
      </c>
      <c r="D29" s="33">
        <f>D22-D23-D24-D25-D26-D27</f>
        <v>60.55501904398352</v>
      </c>
      <c r="H29" s="550">
        <f>H22-H23-H24-H25-H26-H27-H28</f>
        <v>2965.449898798034</v>
      </c>
    </row>
    <row r="31" ht="12.75">
      <c r="D31" s="35"/>
    </row>
    <row r="32" spans="2:8" ht="12.75">
      <c r="B32" s="35"/>
      <c r="D32" s="35"/>
      <c r="H32" s="35"/>
    </row>
    <row r="34" spans="2:6" ht="12.75">
      <c r="B34" s="35"/>
      <c r="D34" s="57" t="s">
        <v>350</v>
      </c>
      <c r="E34" s="524">
        <f>H29</f>
        <v>2965.449898798034</v>
      </c>
      <c r="F34" s="81" t="s">
        <v>349</v>
      </c>
    </row>
    <row r="35" ht="12.75">
      <c r="D35" s="35"/>
    </row>
    <row r="36" ht="12.75">
      <c r="D36" s="36"/>
    </row>
    <row r="38" ht="12.75">
      <c r="B38" s="35"/>
    </row>
    <row r="39" spans="2:5" ht="12.75">
      <c r="B39" s="35"/>
      <c r="E39" s="130"/>
    </row>
    <row r="40" ht="12.75">
      <c r="A40" s="37"/>
    </row>
    <row r="41" ht="12.75">
      <c r="A41" s="37"/>
    </row>
  </sheetData>
  <mergeCells count="1">
    <mergeCell ref="G1:H1"/>
  </mergeCells>
  <conditionalFormatting sqref="D20 H20">
    <cfRule type="cellIs" priority="1" dxfId="3" operator="equal" stopIfTrue="1">
      <formula>0</formula>
    </cfRule>
  </conditionalFormatting>
  <printOptions/>
  <pageMargins left="0.75" right="0.75" top="1" bottom="1" header="0.5" footer="0.5"/>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1:H39"/>
  <sheetViews>
    <sheetView workbookViewId="0" topLeftCell="A1">
      <selection activeCell="H26" sqref="H26"/>
    </sheetView>
  </sheetViews>
  <sheetFormatPr defaultColWidth="9.140625" defaultRowHeight="12.75"/>
  <cols>
    <col min="4" max="4" width="12.57421875" style="0" customWidth="1"/>
    <col min="5" max="5" width="7.7109375" style="0" customWidth="1"/>
    <col min="6" max="6" width="9.28125" style="0" bestFit="1" customWidth="1"/>
    <col min="8" max="8" width="10.7109375" style="0" customWidth="1"/>
  </cols>
  <sheetData>
    <row r="1" spans="1:8" ht="18.75" thickBot="1">
      <c r="A1" s="16" t="s">
        <v>69</v>
      </c>
      <c r="B1" s="17"/>
      <c r="C1" s="18"/>
      <c r="D1" s="19" t="s">
        <v>283</v>
      </c>
      <c r="E1" s="21"/>
      <c r="F1" s="20"/>
      <c r="G1" s="19" t="s">
        <v>284</v>
      </c>
      <c r="H1" s="22"/>
    </row>
    <row r="2" spans="2:7" ht="12.75">
      <c r="B2" t="s">
        <v>70</v>
      </c>
      <c r="C2" t="s">
        <v>71</v>
      </c>
      <c r="F2" t="s">
        <v>70</v>
      </c>
      <c r="G2" t="s">
        <v>71</v>
      </c>
    </row>
    <row r="3" spans="1:8" ht="12.75">
      <c r="A3" s="1" t="s">
        <v>30</v>
      </c>
      <c r="B3" s="23">
        <f>wk2!H14</f>
        <v>5.41</v>
      </c>
      <c r="C3" s="23">
        <f>wk2!I14</f>
        <v>5.41</v>
      </c>
      <c r="D3" s="5">
        <f>(B3+C3)/2</f>
        <v>5.41</v>
      </c>
      <c r="F3" s="23">
        <f>wk2!C14</f>
        <v>1.9</v>
      </c>
      <c r="G3" s="23">
        <f>wk2!D14</f>
        <v>1.9</v>
      </c>
      <c r="H3" s="5">
        <f>(F3+G3)/2</f>
        <v>1.9</v>
      </c>
    </row>
    <row r="4" spans="1:8" ht="12.75">
      <c r="A4" s="1" t="s">
        <v>72</v>
      </c>
      <c r="B4" s="109"/>
      <c r="D4" s="24">
        <f>0.5*(D6-D3)/(Initial!H4-0.5-2.6)</f>
        <v>0.002538787023977429</v>
      </c>
      <c r="F4" s="25"/>
      <c r="H4" s="5">
        <f>(0.5*(H6-H3))/70.9</f>
        <v>0.00846262341325811</v>
      </c>
    </row>
    <row r="5" spans="1:8" ht="12.75">
      <c r="A5" s="1" t="s">
        <v>73</v>
      </c>
      <c r="D5" s="55">
        <f>D3-D4</f>
        <v>5.407461212976023</v>
      </c>
      <c r="H5" s="5">
        <f>H3-H4</f>
        <v>1.8915373765867418</v>
      </c>
    </row>
    <row r="6" spans="1:8" ht="12.75">
      <c r="A6" s="1" t="s">
        <v>74</v>
      </c>
      <c r="B6" s="111">
        <f>wk2!H16</f>
        <v>5.77</v>
      </c>
      <c r="C6" s="111">
        <f>wk2!I16</f>
        <v>5.77</v>
      </c>
      <c r="D6" s="112">
        <f>(B6+C6)/2</f>
        <v>5.77</v>
      </c>
      <c r="F6" s="23">
        <f>wk2!C16</f>
        <v>3.1</v>
      </c>
      <c r="G6" s="23">
        <f>wk2!D16</f>
        <v>3.1</v>
      </c>
      <c r="H6" s="5">
        <f>(F6+G6)/2</f>
        <v>3.1</v>
      </c>
    </row>
    <row r="7" spans="1:8" ht="12.75">
      <c r="A7" s="1" t="s">
        <v>72</v>
      </c>
      <c r="D7" s="5">
        <f>(2.6*(D6-D3))/70.9</f>
        <v>0.01320169252468263</v>
      </c>
      <c r="H7" s="5">
        <f>(2.6*(H6-H3))/70.9</f>
        <v>0.04400564174894218</v>
      </c>
    </row>
    <row r="8" spans="1:8" ht="12.75">
      <c r="A8" s="1" t="s">
        <v>75</v>
      </c>
      <c r="D8" s="55">
        <f>D6+D7</f>
        <v>5.783201692524682</v>
      </c>
      <c r="H8" s="5">
        <f>H6+H7</f>
        <v>3.1440056417489424</v>
      </c>
    </row>
    <row r="9" spans="1:8" ht="12.75">
      <c r="A9" s="1" t="s">
        <v>76</v>
      </c>
      <c r="D9" s="55">
        <f>D8-D5</f>
        <v>0.37574047954865897</v>
      </c>
      <c r="H9" s="5">
        <f>H8-H5</f>
        <v>1.2524682651622006</v>
      </c>
    </row>
    <row r="10" spans="1:8" ht="12.75">
      <c r="A10" s="1" t="s">
        <v>77</v>
      </c>
      <c r="B10" s="23">
        <f>wk2!H15</f>
        <v>5.591</v>
      </c>
      <c r="C10" s="23">
        <f>wk2!I15</f>
        <v>5.591</v>
      </c>
      <c r="D10" s="5">
        <f>(B10+C10)/2</f>
        <v>5.591</v>
      </c>
      <c r="F10" s="23">
        <f>wk2!C15</f>
        <v>2.5</v>
      </c>
      <c r="G10" s="23">
        <f>wk2!D15</f>
        <v>2.5</v>
      </c>
      <c r="H10" s="5">
        <f>(F10+G10)/2</f>
        <v>2.5</v>
      </c>
    </row>
    <row r="11" spans="1:8" ht="12.75">
      <c r="A11" s="1" t="s">
        <v>78</v>
      </c>
      <c r="D11" s="5">
        <f>(D5+D8)/2</f>
        <v>5.595331452750353</v>
      </c>
      <c r="H11" s="5">
        <f>(H5+H8)/2</f>
        <v>2.517771509167842</v>
      </c>
    </row>
    <row r="12" spans="1:8" ht="12.75">
      <c r="A12" s="1" t="s">
        <v>79</v>
      </c>
      <c r="D12" s="5">
        <f>(D11+D10)/2</f>
        <v>5.593165726375176</v>
      </c>
      <c r="H12" s="5">
        <f>(H11+H10)/2</f>
        <v>2.508885754583921</v>
      </c>
    </row>
    <row r="13" spans="1:8" ht="12.75">
      <c r="A13" s="1" t="s">
        <v>80</v>
      </c>
      <c r="D13" s="56">
        <f>(D5+6*D11+D8)/8</f>
        <v>5.5953314527503535</v>
      </c>
      <c r="H13" s="26">
        <f>(H12+H10)/2</f>
        <v>2.5044428772919605</v>
      </c>
    </row>
    <row r="14" spans="1:8" ht="12.75">
      <c r="A14" s="1" t="s">
        <v>81</v>
      </c>
      <c r="D14" s="525">
        <f>wk2!H60</f>
        <v>4157.270433709444</v>
      </c>
      <c r="H14" s="23">
        <f>wk2!C60</f>
        <v>1717.3321579689703</v>
      </c>
    </row>
    <row r="15" spans="1:7" ht="12.75">
      <c r="A15" s="1" t="s">
        <v>76</v>
      </c>
      <c r="B15" s="5" t="s">
        <v>193</v>
      </c>
      <c r="C15" s="27">
        <f>wk2!H61</f>
        <v>8.5</v>
      </c>
      <c r="G15" s="27">
        <f>wk2!C61</f>
        <v>7.4</v>
      </c>
    </row>
    <row r="16" spans="1:8" ht="12.75">
      <c r="A16" s="1" t="s">
        <v>82</v>
      </c>
      <c r="B16" s="5" t="s">
        <v>192</v>
      </c>
      <c r="C16" s="27">
        <f>wk2!H62</f>
        <v>-1.8566455747531696</v>
      </c>
      <c r="D16" s="5">
        <f>(D9*C16*C15*100)/74</f>
        <v>-8.013167078624376</v>
      </c>
      <c r="G16" s="27">
        <f>wk2!C62</f>
        <v>-0.03822143864598023</v>
      </c>
      <c r="H16" s="5">
        <f>(H9*G16*G15*100)/74</f>
        <v>-0.4787113895293435</v>
      </c>
    </row>
    <row r="17" spans="1:8" ht="12.75">
      <c r="A17" s="1" t="s">
        <v>83</v>
      </c>
      <c r="B17" s="526" t="s">
        <v>194</v>
      </c>
      <c r="C17" s="129">
        <f>wk2!H64</f>
        <v>5.939585684062301</v>
      </c>
      <c r="D17" s="5">
        <f>IF(D9&gt;0.74,D9*D9*50*C17/74,0)</f>
        <v>0</v>
      </c>
      <c r="G17" s="129">
        <f>wk2!C64</f>
        <v>2.6999999999999993</v>
      </c>
      <c r="H17" s="5">
        <f>IF(H9&gt;0.74,H9*H9*50*G17/74,0)</f>
        <v>2.8617751615835894</v>
      </c>
    </row>
    <row r="18" spans="1:8" ht="12.75">
      <c r="A18" s="1" t="s">
        <v>84</v>
      </c>
      <c r="D18" s="185">
        <f>IF(D9&gt;0,D14-D16+D17,D14+D16+D17)</f>
        <v>4165.283600788068</v>
      </c>
      <c r="H18" s="185">
        <f>IF(H9&gt;0,H14-H16+H17,H14+H16+H17)</f>
        <v>1720.6726445200832</v>
      </c>
    </row>
    <row r="19" spans="1:8" ht="12.75">
      <c r="A19" s="1" t="s">
        <v>85</v>
      </c>
      <c r="B19" s="57" t="s">
        <v>118</v>
      </c>
      <c r="C19" s="27">
        <f>wk2!H19</f>
        <v>1</v>
      </c>
      <c r="D19" s="28">
        <f>(C20-C19)*D18/C20</f>
        <v>101.59228294605008</v>
      </c>
      <c r="G19" s="27">
        <f>wk2!C19</f>
        <v>1</v>
      </c>
      <c r="H19" s="28">
        <f>(G20-G19)*H18/G20</f>
        <v>41.96762547609944</v>
      </c>
    </row>
    <row r="20" spans="1:8" ht="12.75">
      <c r="A20" s="1" t="s">
        <v>87</v>
      </c>
      <c r="B20" t="s">
        <v>119</v>
      </c>
      <c r="C20" s="5">
        <v>1.025</v>
      </c>
      <c r="D20" s="29">
        <f>D18-D19</f>
        <v>4063.6913178420177</v>
      </c>
      <c r="G20" s="5">
        <v>1.025</v>
      </c>
      <c r="H20" s="29">
        <f>H18-H19</f>
        <v>1678.7050190439836</v>
      </c>
    </row>
    <row r="21" spans="1:8" ht="12.75">
      <c r="A21" s="1" t="s">
        <v>88</v>
      </c>
      <c r="B21" s="130"/>
      <c r="C21" s="130"/>
      <c r="D21" s="5">
        <f>wk2!J49</f>
        <v>35.529999999999994</v>
      </c>
      <c r="F21" s="130"/>
      <c r="G21" s="130"/>
      <c r="H21" s="5">
        <f>wk2!E49</f>
        <v>53.379999999999995</v>
      </c>
    </row>
    <row r="22" spans="1:8" ht="12.75">
      <c r="A22" s="1" t="s">
        <v>89</v>
      </c>
      <c r="B22" s="130"/>
      <c r="C22" s="130"/>
      <c r="D22" s="23">
        <f>wk2!J53</f>
        <v>1.3464</v>
      </c>
      <c r="F22" s="130"/>
      <c r="G22" s="130"/>
      <c r="H22" s="5">
        <f>wk2!E53</f>
        <v>2.22</v>
      </c>
    </row>
    <row r="23" spans="1:8" ht="12.75">
      <c r="A23" s="1" t="s">
        <v>90</v>
      </c>
      <c r="B23" s="130"/>
      <c r="C23" s="130"/>
      <c r="D23" s="112">
        <f>wk2!J39</f>
        <v>52.809999999999995</v>
      </c>
      <c r="F23" s="130"/>
      <c r="G23" s="130"/>
      <c r="H23" s="5">
        <f>wk2!E39</f>
        <v>606.55</v>
      </c>
    </row>
    <row r="24" spans="1:8" ht="12.75">
      <c r="A24" s="1" t="s">
        <v>30</v>
      </c>
      <c r="B24" s="130"/>
      <c r="C24" s="130"/>
      <c r="D24" s="23">
        <f>wk2!J43</f>
        <v>12</v>
      </c>
      <c r="F24" s="130"/>
      <c r="G24" s="130"/>
      <c r="H24" s="23">
        <f>wk2!E43</f>
        <v>20</v>
      </c>
    </row>
    <row r="25" spans="1:8" ht="12.75">
      <c r="A25" s="1" t="s">
        <v>203</v>
      </c>
      <c r="D25" s="5">
        <v>936</v>
      </c>
      <c r="H25" s="5">
        <v>936</v>
      </c>
    </row>
    <row r="26" spans="1:8" ht="12.75">
      <c r="A26" s="1" t="s">
        <v>92</v>
      </c>
      <c r="D26" s="30">
        <f>H26</f>
        <v>60.55501904398352</v>
      </c>
      <c r="E26" s="31"/>
      <c r="G26" s="32"/>
      <c r="H26" s="30">
        <f>H20-H21-H22-H23-H24-H25</f>
        <v>60.55501904398352</v>
      </c>
    </row>
    <row r="27" spans="1:8" ht="12.75">
      <c r="A27" s="1" t="s">
        <v>93</v>
      </c>
      <c r="B27" t="s">
        <v>94</v>
      </c>
      <c r="D27" s="33">
        <f>D20-D21-D22-D23-D24-D25-D26</f>
        <v>2965.449898798034</v>
      </c>
      <c r="H27" s="34">
        <f>H20-H21-H22-H23-H24-H25-H26</f>
        <v>0</v>
      </c>
    </row>
    <row r="29" ht="12.75">
      <c r="D29" s="35"/>
    </row>
    <row r="30" spans="2:8" ht="12.75">
      <c r="B30" s="35"/>
      <c r="D30" s="35"/>
      <c r="H30" s="35"/>
    </row>
    <row r="31" spans="4:7" ht="12.75">
      <c r="D31" t="s">
        <v>351</v>
      </c>
      <c r="F31" s="524">
        <f>D27</f>
        <v>2965.449898798034</v>
      </c>
      <c r="G31" s="81" t="s">
        <v>349</v>
      </c>
    </row>
    <row r="32" ht="12.75">
      <c r="B32" s="35"/>
    </row>
    <row r="33" ht="12.75">
      <c r="D33" s="35"/>
    </row>
    <row r="34" ht="12.75">
      <c r="D34" s="36"/>
    </row>
    <row r="36" ht="12.75">
      <c r="B36" s="35"/>
    </row>
    <row r="37" ht="12.75">
      <c r="B37" s="35"/>
    </row>
    <row r="38" ht="12.75">
      <c r="A38" s="37"/>
    </row>
    <row r="39" ht="12.75">
      <c r="A39" s="37"/>
    </row>
  </sheetData>
  <conditionalFormatting sqref="D18 H18">
    <cfRule type="cellIs" priority="1" dxfId="3" operator="equal" stopIfTrue="1">
      <formula>0</formula>
    </cfRule>
  </conditionalFormatting>
  <printOptions/>
  <pageMargins left="0.75" right="0.75" top="1" bottom="1" header="0.5" footer="0.5"/>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Q81"/>
  <sheetViews>
    <sheetView showGridLines="0" zoomScale="75" zoomScaleNormal="75" workbookViewId="0" topLeftCell="B33">
      <selection activeCell="C19" sqref="C19"/>
    </sheetView>
  </sheetViews>
  <sheetFormatPr defaultColWidth="9.140625" defaultRowHeight="12.75"/>
  <cols>
    <col min="1" max="1" width="3.57421875" style="31" customWidth="1"/>
    <col min="2" max="2" width="21.140625" style="31" customWidth="1"/>
    <col min="3" max="3" width="9.8515625" style="31" customWidth="1"/>
    <col min="4" max="4" width="9.140625" style="31" customWidth="1"/>
    <col min="5" max="5" width="10.140625" style="31" customWidth="1"/>
    <col min="6" max="6" width="3.57421875" style="31" customWidth="1"/>
    <col min="7" max="7" width="18.00390625" style="31" customWidth="1"/>
    <col min="8" max="9" width="10.140625" style="31" customWidth="1"/>
    <col min="10" max="10" width="10.00390625" style="31" customWidth="1"/>
    <col min="11" max="16384" width="9.140625" style="31" customWidth="1"/>
  </cols>
  <sheetData>
    <row r="1" spans="1:2" ht="21" customHeight="1">
      <c r="A1" s="119"/>
      <c r="B1" s="916" t="s">
        <v>571</v>
      </c>
    </row>
    <row r="2" ht="18" customHeight="1">
      <c r="A2" s="119"/>
    </row>
    <row r="3" spans="2:8" ht="12.75">
      <c r="B3" s="131" t="s">
        <v>204</v>
      </c>
      <c r="C3" s="61">
        <v>79.7</v>
      </c>
      <c r="G3" s="132" t="s">
        <v>205</v>
      </c>
      <c r="H3" s="133">
        <v>1920</v>
      </c>
    </row>
    <row r="4" spans="2:8" ht="12.75">
      <c r="B4" s="131" t="s">
        <v>206</v>
      </c>
      <c r="C4" s="61">
        <v>13</v>
      </c>
      <c r="G4" s="132" t="s">
        <v>207</v>
      </c>
      <c r="H4" s="133">
        <v>1117</v>
      </c>
    </row>
    <row r="5" spans="2:8" ht="12.75">
      <c r="B5" s="131" t="s">
        <v>208</v>
      </c>
      <c r="C5" s="61">
        <v>6.75</v>
      </c>
      <c r="G5" s="132" t="s">
        <v>209</v>
      </c>
      <c r="H5" s="133"/>
    </row>
    <row r="6" spans="2:8" ht="12.75">
      <c r="B6" s="134" t="s">
        <v>210</v>
      </c>
      <c r="C6" s="135">
        <v>74</v>
      </c>
      <c r="G6" s="132" t="s">
        <v>211</v>
      </c>
      <c r="H6" s="133"/>
    </row>
    <row r="7" spans="2:10" ht="12.75">
      <c r="B7" s="134" t="s">
        <v>212</v>
      </c>
      <c r="C7" s="135">
        <v>0.5</v>
      </c>
      <c r="G7" s="132" t="s">
        <v>213</v>
      </c>
      <c r="H7" s="133">
        <v>3220</v>
      </c>
      <c r="I7" s="128" t="s">
        <v>470</v>
      </c>
      <c r="J7" s="133">
        <v>3122</v>
      </c>
    </row>
    <row r="8" spans="2:8" ht="12.75">
      <c r="B8" s="134" t="s">
        <v>214</v>
      </c>
      <c r="C8" s="135">
        <v>2.6</v>
      </c>
      <c r="H8" s="120"/>
    </row>
    <row r="9" spans="2:8" ht="13.5" thickBot="1">
      <c r="B9" s="134" t="s">
        <v>215</v>
      </c>
      <c r="C9" s="136">
        <f>C6-C7-C8</f>
        <v>70.9</v>
      </c>
      <c r="G9" s="137" t="s">
        <v>216</v>
      </c>
      <c r="H9" s="135">
        <v>936</v>
      </c>
    </row>
    <row r="10" spans="3:7" ht="14.25" thickBot="1" thickTop="1">
      <c r="C10" s="138"/>
      <c r="G10" s="124"/>
    </row>
    <row r="11" spans="1:17" ht="18.75" customHeight="1" thickTop="1">
      <c r="A11" s="949" t="s">
        <v>217</v>
      </c>
      <c r="B11" s="949"/>
      <c r="C11" s="949"/>
      <c r="D11" s="949"/>
      <c r="E11" s="949"/>
      <c r="F11" s="949"/>
      <c r="G11" s="949"/>
      <c r="H11" s="949"/>
      <c r="I11" s="949"/>
      <c r="J11" s="949"/>
      <c r="N11" s="138"/>
      <c r="Q11" s="124"/>
    </row>
    <row r="12" spans="2:9" ht="15">
      <c r="B12" s="128" t="s">
        <v>218</v>
      </c>
      <c r="C12" s="515" t="s">
        <v>219</v>
      </c>
      <c r="H12" s="128" t="s">
        <v>220</v>
      </c>
      <c r="I12" s="516" t="s">
        <v>221</v>
      </c>
    </row>
    <row r="13" spans="3:10" ht="12.75">
      <c r="C13" s="124" t="s">
        <v>222</v>
      </c>
      <c r="D13" s="124" t="s">
        <v>223</v>
      </c>
      <c r="E13" s="124" t="s">
        <v>224</v>
      </c>
      <c r="F13" s="124"/>
      <c r="H13" s="124" t="s">
        <v>70</v>
      </c>
      <c r="I13" s="139" t="s">
        <v>223</v>
      </c>
      <c r="J13" s="124" t="s">
        <v>224</v>
      </c>
    </row>
    <row r="14" spans="2:10" ht="12.75">
      <c r="B14" s="128" t="s">
        <v>225</v>
      </c>
      <c r="C14" s="126">
        <v>1.9</v>
      </c>
      <c r="D14" s="126">
        <v>1.9</v>
      </c>
      <c r="E14" s="126">
        <f>(C14+D14)/2</f>
        <v>1.9</v>
      </c>
      <c r="F14" s="120"/>
      <c r="G14" s="128" t="s">
        <v>225</v>
      </c>
      <c r="H14" s="657">
        <f>ctrl!C11</f>
        <v>5.41</v>
      </c>
      <c r="I14" s="657">
        <f>ctrl!D11</f>
        <v>5.41</v>
      </c>
      <c r="J14" s="126">
        <f>(H14+I14)/2</f>
        <v>5.41</v>
      </c>
    </row>
    <row r="15" spans="2:10" ht="12.75">
      <c r="B15" s="140" t="s">
        <v>226</v>
      </c>
      <c r="C15" s="126">
        <v>2.5</v>
      </c>
      <c r="D15" s="126">
        <v>2.5</v>
      </c>
      <c r="E15" s="126">
        <f>(C15+D15)/2</f>
        <v>2.5</v>
      </c>
      <c r="F15" s="120"/>
      <c r="G15" s="140" t="s">
        <v>226</v>
      </c>
      <c r="H15" s="126">
        <f>ctrl!C12</f>
        <v>5.591</v>
      </c>
      <c r="I15" s="126">
        <f>ctrl!D12</f>
        <v>5.591</v>
      </c>
      <c r="J15" s="126">
        <f>(H15+I15)/2</f>
        <v>5.591</v>
      </c>
    </row>
    <row r="16" spans="2:10" ht="12.75">
      <c r="B16" s="128" t="s">
        <v>74</v>
      </c>
      <c r="C16" s="126">
        <v>3.1</v>
      </c>
      <c r="D16" s="126">
        <v>3.1</v>
      </c>
      <c r="E16" s="126">
        <f>(C16+D16)/2</f>
        <v>3.1</v>
      </c>
      <c r="F16" s="120"/>
      <c r="G16" s="128" t="s">
        <v>74</v>
      </c>
      <c r="H16" s="657">
        <f>ctrl!C13</f>
        <v>5.77</v>
      </c>
      <c r="I16" s="657">
        <f>ctrl!D13</f>
        <v>5.77</v>
      </c>
      <c r="J16" s="126">
        <f>(H16+I16)/2</f>
        <v>5.77</v>
      </c>
    </row>
    <row r="17" spans="4:10" ht="12.75">
      <c r="D17" s="141" t="s">
        <v>227</v>
      </c>
      <c r="E17" s="61">
        <f>E16-E14</f>
        <v>1.2000000000000002</v>
      </c>
      <c r="F17" s="117"/>
      <c r="I17" s="141" t="s">
        <v>227</v>
      </c>
      <c r="J17" s="61">
        <f>J16-J14</f>
        <v>0.35999999999999943</v>
      </c>
    </row>
    <row r="18" spans="4:10" ht="12.75">
      <c r="D18" s="141"/>
      <c r="E18" s="117"/>
      <c r="F18" s="117"/>
      <c r="I18" s="141"/>
      <c r="J18" s="117"/>
    </row>
    <row r="19" spans="2:10" ht="12.75">
      <c r="B19" s="128" t="s">
        <v>228</v>
      </c>
      <c r="C19" s="126">
        <f>H19</f>
        <v>1</v>
      </c>
      <c r="D19" s="141"/>
      <c r="E19" s="117"/>
      <c r="F19" s="117"/>
      <c r="G19" s="128" t="s">
        <v>228</v>
      </c>
      <c r="H19" s="126">
        <f>ctrl!E18</f>
        <v>1</v>
      </c>
      <c r="I19" s="141"/>
      <c r="J19" s="117"/>
    </row>
    <row r="20" spans="2:10" ht="12.75">
      <c r="B20" s="128"/>
      <c r="C20" s="120"/>
      <c r="D20" s="141"/>
      <c r="E20" s="117"/>
      <c r="F20" s="117"/>
      <c r="G20" s="128"/>
      <c r="H20" s="120"/>
      <c r="I20" s="141"/>
      <c r="J20" s="117"/>
    </row>
    <row r="21" spans="2:10" ht="12.75">
      <c r="B21" s="128"/>
      <c r="C21" s="120"/>
      <c r="D21" s="142" t="str">
        <f>IF(E21&lt;0,"HOGGING","SAGGING")</f>
        <v>SAGGING</v>
      </c>
      <c r="E21" s="117">
        <f>E15-(E16+E14)/2</f>
        <v>0</v>
      </c>
      <c r="F21" s="117"/>
      <c r="G21" s="128"/>
      <c r="H21" s="120"/>
      <c r="I21" s="142" t="str">
        <f>IF(J21&lt;0,"HOGGING","SAGGING")</f>
        <v>SAGGING</v>
      </c>
      <c r="J21" s="117">
        <f>J15-(J16+J14)/2</f>
        <v>0.001000000000000334</v>
      </c>
    </row>
    <row r="22" spans="1:10" ht="18.75" thickBot="1">
      <c r="A22" s="138"/>
      <c r="B22" s="527" t="s">
        <v>353</v>
      </c>
      <c r="C22" s="528"/>
      <c r="D22" s="528"/>
      <c r="E22" s="528"/>
      <c r="F22" s="528"/>
      <c r="G22" s="527" t="s">
        <v>352</v>
      </c>
      <c r="H22" s="138"/>
      <c r="I22" s="138"/>
      <c r="J22" s="138"/>
    </row>
    <row r="23" spans="1:10" ht="19.5" thickBot="1" thickTop="1">
      <c r="A23" s="143"/>
      <c r="B23" s="949" t="s">
        <v>229</v>
      </c>
      <c r="C23" s="949" t="s">
        <v>230</v>
      </c>
      <c r="D23" s="144" t="s">
        <v>231</v>
      </c>
      <c r="E23" s="145">
        <v>1</v>
      </c>
      <c r="F23" s="146"/>
      <c r="G23" s="949" t="s">
        <v>229</v>
      </c>
      <c r="H23" s="949" t="s">
        <v>230</v>
      </c>
      <c r="I23" s="144" t="s">
        <v>231</v>
      </c>
      <c r="J23" s="145">
        <f>'Ballast &amp; Consumb'!H17</f>
        <v>1</v>
      </c>
    </row>
    <row r="24" spans="2:11" s="147" customFormat="1" ht="16.5" customHeight="1">
      <c r="B24" s="247" t="s">
        <v>47</v>
      </c>
      <c r="C24" s="248" t="s">
        <v>44</v>
      </c>
      <c r="D24" s="249" t="s">
        <v>20</v>
      </c>
      <c r="E24" s="250" t="s">
        <v>23</v>
      </c>
      <c r="F24" s="14"/>
      <c r="G24" s="247" t="s">
        <v>47</v>
      </c>
      <c r="H24" s="248" t="s">
        <v>44</v>
      </c>
      <c r="I24" s="249" t="s">
        <v>20</v>
      </c>
      <c r="J24" s="251" t="s">
        <v>23</v>
      </c>
      <c r="K24" s="148"/>
    </row>
    <row r="25" spans="2:11" s="147" customFormat="1" ht="16.5" customHeight="1">
      <c r="B25" s="245" t="s">
        <v>1</v>
      </c>
      <c r="C25" s="220">
        <v>84.5</v>
      </c>
      <c r="D25" s="6">
        <v>84.5</v>
      </c>
      <c r="E25" s="240">
        <f aca="true" t="shared" si="0" ref="E25:E34">D25*$E$23</f>
        <v>84.5</v>
      </c>
      <c r="F25" s="12"/>
      <c r="G25" s="245" t="s">
        <v>1</v>
      </c>
      <c r="H25" s="220">
        <v>84.5</v>
      </c>
      <c r="I25" s="6">
        <f>'Ballast &amp; Consumb'!D6</f>
        <v>0.2</v>
      </c>
      <c r="J25" s="240">
        <f aca="true" t="shared" si="1" ref="J25:J38">I25*$J$23</f>
        <v>0.2</v>
      </c>
      <c r="K25" s="148"/>
    </row>
    <row r="26" spans="2:11" s="147" customFormat="1" ht="16.5" customHeight="1">
      <c r="B26" s="245" t="s">
        <v>55</v>
      </c>
      <c r="C26" s="220">
        <v>37</v>
      </c>
      <c r="D26" s="6">
        <v>37</v>
      </c>
      <c r="E26" s="240">
        <f t="shared" si="0"/>
        <v>37</v>
      </c>
      <c r="F26" s="12"/>
      <c r="G26" s="245" t="s">
        <v>55</v>
      </c>
      <c r="H26" s="220">
        <v>37</v>
      </c>
      <c r="I26" s="6">
        <f>'Ballast &amp; Consumb'!D7</f>
        <v>3.11</v>
      </c>
      <c r="J26" s="240">
        <f t="shared" si="1"/>
        <v>3.11</v>
      </c>
      <c r="K26" s="148"/>
    </row>
    <row r="27" spans="2:11" s="147" customFormat="1" ht="16.5" customHeight="1">
      <c r="B27" s="245" t="s">
        <v>56</v>
      </c>
      <c r="C27" s="220">
        <v>37</v>
      </c>
      <c r="D27" s="6">
        <v>37</v>
      </c>
      <c r="E27" s="240">
        <f t="shared" si="0"/>
        <v>37</v>
      </c>
      <c r="F27" s="12"/>
      <c r="G27" s="245" t="s">
        <v>56</v>
      </c>
      <c r="H27" s="220">
        <v>37</v>
      </c>
      <c r="I27" s="6">
        <f>'Ballast &amp; Consumb'!D8</f>
        <v>3.11</v>
      </c>
      <c r="J27" s="240">
        <f t="shared" si="1"/>
        <v>3.11</v>
      </c>
      <c r="K27" s="148"/>
    </row>
    <row r="28" spans="2:11" s="147" customFormat="1" ht="16.5" customHeight="1">
      <c r="B28" s="245" t="s">
        <v>57</v>
      </c>
      <c r="C28" s="220">
        <v>30.1</v>
      </c>
      <c r="D28" s="6">
        <v>30.1</v>
      </c>
      <c r="E28" s="240">
        <f t="shared" si="0"/>
        <v>30.1</v>
      </c>
      <c r="F28" s="12"/>
      <c r="G28" s="245" t="s">
        <v>57</v>
      </c>
      <c r="H28" s="220">
        <v>30.1</v>
      </c>
      <c r="I28" s="6">
        <f>'Ballast &amp; Consumb'!D9</f>
        <v>2.59</v>
      </c>
      <c r="J28" s="240">
        <f t="shared" si="1"/>
        <v>2.59</v>
      </c>
      <c r="K28" s="148"/>
    </row>
    <row r="29" spans="2:11" s="147" customFormat="1" ht="16.5" customHeight="1">
      <c r="B29" s="245" t="s">
        <v>58</v>
      </c>
      <c r="C29" s="220">
        <v>30.1</v>
      </c>
      <c r="D29" s="6">
        <v>30.1</v>
      </c>
      <c r="E29" s="240">
        <f t="shared" si="0"/>
        <v>30.1</v>
      </c>
      <c r="F29" s="12"/>
      <c r="G29" s="245" t="s">
        <v>58</v>
      </c>
      <c r="H29" s="220">
        <v>30.1</v>
      </c>
      <c r="I29" s="6">
        <f>'Ballast &amp; Consumb'!D10</f>
        <v>2.59</v>
      </c>
      <c r="J29" s="240">
        <f t="shared" si="1"/>
        <v>2.59</v>
      </c>
      <c r="K29" s="148"/>
    </row>
    <row r="30" spans="2:11" s="147" customFormat="1" ht="16.5" customHeight="1">
      <c r="B30" s="245" t="s">
        <v>4</v>
      </c>
      <c r="C30" s="220">
        <v>65.7</v>
      </c>
      <c r="D30" s="6">
        <v>65.7</v>
      </c>
      <c r="E30" s="240">
        <f t="shared" si="0"/>
        <v>65.7</v>
      </c>
      <c r="F30" s="12"/>
      <c r="G30" s="245" t="s">
        <v>4</v>
      </c>
      <c r="H30" s="220">
        <v>65.7</v>
      </c>
      <c r="I30" s="6">
        <f>'Ballast &amp; Consumb'!D11</f>
        <v>7.68</v>
      </c>
      <c r="J30" s="240">
        <f t="shared" si="1"/>
        <v>7.68</v>
      </c>
      <c r="K30" s="148"/>
    </row>
    <row r="31" spans="2:11" s="147" customFormat="1" ht="16.5" customHeight="1">
      <c r="B31" s="245" t="s">
        <v>59</v>
      </c>
      <c r="C31" s="220">
        <v>63.6</v>
      </c>
      <c r="D31" s="6">
        <v>63.6</v>
      </c>
      <c r="E31" s="240">
        <f t="shared" si="0"/>
        <v>63.6</v>
      </c>
      <c r="F31" s="12"/>
      <c r="G31" s="245" t="s">
        <v>59</v>
      </c>
      <c r="H31" s="220">
        <v>63.6</v>
      </c>
      <c r="I31" s="6">
        <f>'Ballast &amp; Consumb'!D12</f>
        <v>7.5</v>
      </c>
      <c r="J31" s="240">
        <f t="shared" si="1"/>
        <v>7.5</v>
      </c>
      <c r="K31" s="148"/>
    </row>
    <row r="32" spans="2:11" s="147" customFormat="1" ht="16.5" customHeight="1">
      <c r="B32" s="245" t="s">
        <v>60</v>
      </c>
      <c r="C32" s="220">
        <v>63.6</v>
      </c>
      <c r="D32" s="6">
        <v>63.6</v>
      </c>
      <c r="E32" s="240">
        <f t="shared" si="0"/>
        <v>63.6</v>
      </c>
      <c r="F32" s="12"/>
      <c r="G32" s="245" t="s">
        <v>60</v>
      </c>
      <c r="H32" s="220">
        <v>63.6</v>
      </c>
      <c r="I32" s="6">
        <f>'Ballast &amp; Consumb'!D13</f>
        <v>7.5</v>
      </c>
      <c r="J32" s="240">
        <f t="shared" si="1"/>
        <v>7.5</v>
      </c>
      <c r="K32" s="148"/>
    </row>
    <row r="33" spans="2:11" s="147" customFormat="1" ht="16.5" customHeight="1">
      <c r="B33" s="245" t="s">
        <v>61</v>
      </c>
      <c r="C33" s="220">
        <v>26.6</v>
      </c>
      <c r="D33" s="6">
        <v>26.6</v>
      </c>
      <c r="E33" s="240">
        <f t="shared" si="0"/>
        <v>26.6</v>
      </c>
      <c r="F33" s="12"/>
      <c r="G33" s="245" t="s">
        <v>61</v>
      </c>
      <c r="H33" s="220">
        <v>26.6</v>
      </c>
      <c r="I33" s="6">
        <f>'Ballast &amp; Consumb'!D14</f>
        <v>2.33</v>
      </c>
      <c r="J33" s="240">
        <f t="shared" si="1"/>
        <v>2.33</v>
      </c>
      <c r="K33" s="148"/>
    </row>
    <row r="34" spans="2:11" s="147" customFormat="1" ht="16.5" customHeight="1">
      <c r="B34" s="245" t="s">
        <v>62</v>
      </c>
      <c r="C34" s="220">
        <v>26.6</v>
      </c>
      <c r="D34" s="6">
        <v>26.6</v>
      </c>
      <c r="E34" s="240">
        <f t="shared" si="0"/>
        <v>26.6</v>
      </c>
      <c r="F34" s="12"/>
      <c r="G34" s="245" t="s">
        <v>62</v>
      </c>
      <c r="H34" s="220">
        <v>26.6</v>
      </c>
      <c r="I34" s="6">
        <f>'Ballast &amp; Consumb'!D15</f>
        <v>2.33</v>
      </c>
      <c r="J34" s="240">
        <f t="shared" si="1"/>
        <v>2.33</v>
      </c>
      <c r="K34" s="148"/>
    </row>
    <row r="35" spans="2:11" s="147" customFormat="1" ht="16.5" customHeight="1">
      <c r="B35" s="245" t="s">
        <v>8</v>
      </c>
      <c r="C35" s="220">
        <v>47.3</v>
      </c>
      <c r="D35" s="222">
        <v>47.3</v>
      </c>
      <c r="E35" s="240">
        <f>D35</f>
        <v>47.3</v>
      </c>
      <c r="F35" s="12"/>
      <c r="G35" s="245" t="s">
        <v>8</v>
      </c>
      <c r="H35" s="220">
        <v>47.3</v>
      </c>
      <c r="I35" s="6">
        <f>'Ballast &amp; Consumb'!D16</f>
        <v>9.28</v>
      </c>
      <c r="J35" s="240">
        <f t="shared" si="1"/>
        <v>9.28</v>
      </c>
      <c r="K35" s="148"/>
    </row>
    <row r="36" spans="2:11" s="147" customFormat="1" ht="16.5" customHeight="1">
      <c r="B36" s="245" t="s">
        <v>63</v>
      </c>
      <c r="C36" s="220">
        <v>25.4</v>
      </c>
      <c r="D36" s="6">
        <v>25.4</v>
      </c>
      <c r="E36" s="240">
        <f>D36*$E$23</f>
        <v>25.4</v>
      </c>
      <c r="F36" s="12"/>
      <c r="G36" s="245" t="s">
        <v>63</v>
      </c>
      <c r="H36" s="220">
        <v>25.4</v>
      </c>
      <c r="I36" s="6">
        <f>'Ballast &amp; Consumb'!D17</f>
        <v>1.65</v>
      </c>
      <c r="J36" s="240">
        <f t="shared" si="1"/>
        <v>1.65</v>
      </c>
      <c r="K36" s="148"/>
    </row>
    <row r="37" spans="2:11" s="147" customFormat="1" ht="16.5" customHeight="1">
      <c r="B37" s="245" t="s">
        <v>64</v>
      </c>
      <c r="C37" s="220">
        <v>25.4</v>
      </c>
      <c r="D37" s="6">
        <v>25.4</v>
      </c>
      <c r="E37" s="240">
        <f>D37*$E$23</f>
        <v>25.4</v>
      </c>
      <c r="F37" s="12"/>
      <c r="G37" s="245" t="s">
        <v>64</v>
      </c>
      <c r="H37" s="220">
        <v>25.4</v>
      </c>
      <c r="I37" s="6">
        <f>'Ballast &amp; Consumb'!D18</f>
        <v>1.65</v>
      </c>
      <c r="J37" s="240">
        <f t="shared" si="1"/>
        <v>1.65</v>
      </c>
      <c r="K37" s="148"/>
    </row>
    <row r="38" spans="2:11" ht="13.5" thickBot="1">
      <c r="B38" s="246" t="s">
        <v>10</v>
      </c>
      <c r="C38" s="221">
        <v>43.65</v>
      </c>
      <c r="D38" s="99">
        <v>43.65</v>
      </c>
      <c r="E38" s="241">
        <f>D38*$E$23</f>
        <v>43.65</v>
      </c>
      <c r="F38" s="12"/>
      <c r="G38" s="246" t="s">
        <v>10</v>
      </c>
      <c r="H38" s="221">
        <v>43.65</v>
      </c>
      <c r="I38" s="99">
        <f>'Ballast &amp; Consumb'!D19</f>
        <v>1.29</v>
      </c>
      <c r="J38" s="241">
        <f t="shared" si="1"/>
        <v>1.29</v>
      </c>
      <c r="K38" s="119"/>
    </row>
    <row r="39" spans="2:11" ht="15.75" customHeight="1">
      <c r="B39" s="12"/>
      <c r="C39" s="12"/>
      <c r="D39" s="252" t="s">
        <v>232</v>
      </c>
      <c r="E39" s="244">
        <f>SUM(E25:E38)</f>
        <v>606.55</v>
      </c>
      <c r="F39" s="152"/>
      <c r="G39" s="12"/>
      <c r="H39" s="12"/>
      <c r="I39" s="252" t="s">
        <v>232</v>
      </c>
      <c r="J39" s="242">
        <f>SUM(J25:J38)</f>
        <v>52.809999999999995</v>
      </c>
      <c r="K39" s="119"/>
    </row>
    <row r="40" spans="2:11" ht="15.75" customHeight="1" thickBot="1">
      <c r="B40" s="153" t="s">
        <v>233</v>
      </c>
      <c r="C40" s="50" t="s">
        <v>234</v>
      </c>
      <c r="D40" s="50"/>
      <c r="E40" s="154">
        <v>1</v>
      </c>
      <c r="F40" s="154"/>
      <c r="G40" s="153" t="s">
        <v>233</v>
      </c>
      <c r="H40" s="50" t="s">
        <v>234</v>
      </c>
      <c r="I40" s="50"/>
      <c r="J40" s="154">
        <v>1</v>
      </c>
      <c r="K40" s="119"/>
    </row>
    <row r="41" spans="2:11" ht="12.75">
      <c r="B41" s="253" t="s">
        <v>65</v>
      </c>
      <c r="C41" s="254"/>
      <c r="D41" s="156"/>
      <c r="E41" s="157">
        <v>10</v>
      </c>
      <c r="F41" s="12"/>
      <c r="G41" s="253" t="s">
        <v>65</v>
      </c>
      <c r="H41" s="254"/>
      <c r="I41" s="156"/>
      <c r="J41" s="157">
        <f>'Ballast &amp; Consumb'!E21</f>
        <v>6</v>
      </c>
      <c r="K41" s="119"/>
    </row>
    <row r="42" spans="2:10" ht="13.5" thickBot="1">
      <c r="B42" s="246" t="s">
        <v>66</v>
      </c>
      <c r="C42" s="202"/>
      <c r="D42" s="99"/>
      <c r="E42" s="150">
        <v>10</v>
      </c>
      <c r="F42" s="12"/>
      <c r="G42" s="246" t="s">
        <v>66</v>
      </c>
      <c r="H42" s="202"/>
      <c r="I42" s="99"/>
      <c r="J42" s="150">
        <f>'Ballast &amp; Consumb'!E22</f>
        <v>6</v>
      </c>
    </row>
    <row r="43" spans="2:10" ht="12.75">
      <c r="B43" s="12"/>
      <c r="C43" s="12"/>
      <c r="D43" s="252" t="s">
        <v>232</v>
      </c>
      <c r="E43" s="243">
        <f>SUM(E41:E42)</f>
        <v>20</v>
      </c>
      <c r="F43" s="152"/>
      <c r="G43" s="12"/>
      <c r="H43" s="12"/>
      <c r="I43" s="252" t="s">
        <v>232</v>
      </c>
      <c r="J43" s="243">
        <f>SUM(J41:J42)</f>
        <v>12</v>
      </c>
    </row>
    <row r="44" spans="2:10" ht="19.5" customHeight="1" thickBot="1">
      <c r="B44" s="153" t="s">
        <v>88</v>
      </c>
      <c r="C44" s="50" t="s">
        <v>234</v>
      </c>
      <c r="D44" s="50"/>
      <c r="E44" s="154">
        <v>0.85</v>
      </c>
      <c r="F44" s="154"/>
      <c r="G44" s="153" t="s">
        <v>88</v>
      </c>
      <c r="H44" s="50" t="s">
        <v>234</v>
      </c>
      <c r="I44" s="50"/>
      <c r="J44" s="154">
        <f>'Ballast &amp; Consumb'!H25</f>
        <v>0.85</v>
      </c>
    </row>
    <row r="45" spans="2:10" ht="12.75">
      <c r="B45" s="253" t="s">
        <v>6</v>
      </c>
      <c r="C45" s="254"/>
      <c r="D45" s="156">
        <v>62.8</v>
      </c>
      <c r="E45" s="255">
        <f>D45*$E$44</f>
        <v>53.379999999999995</v>
      </c>
      <c r="F45" s="12"/>
      <c r="G45" s="253" t="s">
        <v>6</v>
      </c>
      <c r="H45" s="254"/>
      <c r="I45" s="156">
        <f>'Ballast &amp; Consumb'!D24</f>
        <v>14.5</v>
      </c>
      <c r="J45" s="255">
        <f>I45*$J$44</f>
        <v>12.325</v>
      </c>
    </row>
    <row r="46" spans="2:10" ht="12.75">
      <c r="B46" s="245" t="s">
        <v>8</v>
      </c>
      <c r="C46" s="149"/>
      <c r="D46" s="5"/>
      <c r="E46" s="240">
        <f>D46*$E$44</f>
        <v>0</v>
      </c>
      <c r="F46" s="12"/>
      <c r="G46" s="245" t="s">
        <v>8</v>
      </c>
      <c r="H46" s="149"/>
      <c r="I46" s="5">
        <f>'Ballast &amp; Consumb'!D26</f>
        <v>15.3</v>
      </c>
      <c r="J46" s="240">
        <f>I46*$J$44</f>
        <v>13.005</v>
      </c>
    </row>
    <row r="47" spans="2:10" ht="12.75">
      <c r="B47" s="245" t="s">
        <v>11</v>
      </c>
      <c r="C47" s="149"/>
      <c r="D47" s="5"/>
      <c r="E47" s="240">
        <f>D47*$E$44</f>
        <v>0</v>
      </c>
      <c r="F47" s="12"/>
      <c r="G47" s="245" t="s">
        <v>11</v>
      </c>
      <c r="H47" s="149"/>
      <c r="I47" s="5">
        <f>'Ballast &amp; Consumb'!D27</f>
        <v>9</v>
      </c>
      <c r="J47" s="240">
        <f>I47*$J$44</f>
        <v>7.6499999999999995</v>
      </c>
    </row>
    <row r="48" spans="2:10" ht="13.5" thickBot="1">
      <c r="B48" s="246" t="s">
        <v>12</v>
      </c>
      <c r="C48" s="202"/>
      <c r="D48" s="158"/>
      <c r="E48" s="241">
        <f>D48*$E$44</f>
        <v>0</v>
      </c>
      <c r="F48" s="12"/>
      <c r="G48" s="246" t="s">
        <v>12</v>
      </c>
      <c r="H48" s="202"/>
      <c r="I48" s="158">
        <f>'Ballast &amp; Consumb'!D28</f>
        <v>3</v>
      </c>
      <c r="J48" s="241">
        <f>I48*$J$44</f>
        <v>2.55</v>
      </c>
    </row>
    <row r="49" spans="2:10" ht="12.75">
      <c r="B49" s="12"/>
      <c r="C49" s="252" t="s">
        <v>232</v>
      </c>
      <c r="D49" s="252"/>
      <c r="E49" s="243">
        <f>SUM(E45:E48)</f>
        <v>53.379999999999995</v>
      </c>
      <c r="F49" s="152"/>
      <c r="G49" s="12"/>
      <c r="H49" s="252" t="s">
        <v>232</v>
      </c>
      <c r="I49" s="252">
        <f>SUM(I45:I48)</f>
        <v>41.8</v>
      </c>
      <c r="J49" s="243">
        <f>SUM(J45:J48)</f>
        <v>35.529999999999994</v>
      </c>
    </row>
    <row r="50" spans="2:10" ht="16.5" thickBot="1">
      <c r="B50" s="153" t="s">
        <v>43</v>
      </c>
      <c r="C50" s="2"/>
      <c r="D50" s="151"/>
      <c r="E50" s="152"/>
      <c r="F50" s="152"/>
      <c r="G50" s="153" t="s">
        <v>43</v>
      </c>
      <c r="H50" s="2"/>
      <c r="I50" s="151"/>
      <c r="J50" s="154">
        <v>0.9</v>
      </c>
    </row>
    <row r="51" spans="2:10" ht="12.75">
      <c r="B51" s="253" t="s">
        <v>17</v>
      </c>
      <c r="C51" s="254"/>
      <c r="D51" s="155">
        <v>1.11</v>
      </c>
      <c r="E51" s="255">
        <f>D51</f>
        <v>1.11</v>
      </c>
      <c r="F51" s="12"/>
      <c r="G51" s="253" t="s">
        <v>17</v>
      </c>
      <c r="H51" s="155"/>
      <c r="I51" s="155">
        <f>'Ballast &amp; Consumb'!D30</f>
        <v>0.8</v>
      </c>
      <c r="J51" s="529">
        <f>I51*J50</f>
        <v>0.7200000000000001</v>
      </c>
    </row>
    <row r="52" spans="2:10" ht="13.5" thickBot="1">
      <c r="B52" s="246" t="s">
        <v>17</v>
      </c>
      <c r="C52" s="202"/>
      <c r="D52" s="99">
        <v>1.11</v>
      </c>
      <c r="E52" s="241">
        <f>D52</f>
        <v>1.11</v>
      </c>
      <c r="F52" s="12"/>
      <c r="G52" s="246" t="s">
        <v>17</v>
      </c>
      <c r="H52" s="99"/>
      <c r="I52" s="99">
        <f>'Ballast &amp; Consumb'!D31</f>
        <v>0.87</v>
      </c>
      <c r="J52" s="530">
        <f>I52*J51</f>
        <v>0.6264000000000001</v>
      </c>
    </row>
    <row r="53" spans="2:10" ht="12.75">
      <c r="B53" s="2"/>
      <c r="C53" s="2"/>
      <c r="D53" s="151" t="s">
        <v>232</v>
      </c>
      <c r="E53" s="152">
        <f>SUM(E51:E52)</f>
        <v>2.22</v>
      </c>
      <c r="F53" s="152"/>
      <c r="G53" s="2"/>
      <c r="H53" s="2"/>
      <c r="I53" s="252" t="s">
        <v>232</v>
      </c>
      <c r="J53" s="242">
        <f>SUM(J51:J52)</f>
        <v>1.3464</v>
      </c>
    </row>
    <row r="54" spans="2:10" ht="12.75">
      <c r="B54" s="2"/>
      <c r="C54" s="2"/>
      <c r="D54" s="151"/>
      <c r="E54" s="152"/>
      <c r="F54" s="152"/>
      <c r="G54" s="2"/>
      <c r="H54" s="2"/>
      <c r="I54" s="151"/>
      <c r="J54" s="152"/>
    </row>
    <row r="55" spans="2:11" ht="12.75">
      <c r="B55" s="57" t="s">
        <v>235</v>
      </c>
      <c r="C55" s="256">
        <f>E39+E43+E49+E53</f>
        <v>682.15</v>
      </c>
      <c r="D55" s="151"/>
      <c r="E55" s="152"/>
      <c r="F55" s="152"/>
      <c r="G55" s="57" t="s">
        <v>235</v>
      </c>
      <c r="H55" s="256">
        <f>J39+J43+J49+J53</f>
        <v>101.6864</v>
      </c>
      <c r="I55" s="151"/>
      <c r="J55" s="152"/>
      <c r="K55" s="31">
        <v>170</v>
      </c>
    </row>
    <row r="56" spans="2:10" ht="12.75">
      <c r="B56" s="2"/>
      <c r="C56" s="2"/>
      <c r="D56"/>
      <c r="E56"/>
      <c r="F56"/>
      <c r="G56" s="2"/>
      <c r="H56" s="2"/>
      <c r="I56"/>
      <c r="J56"/>
    </row>
    <row r="57" spans="2:10" ht="12.75">
      <c r="B57" s="2"/>
      <c r="C57" s="2"/>
      <c r="D57"/>
      <c r="E57"/>
      <c r="F57"/>
      <c r="G57" s="2"/>
      <c r="H57" s="2"/>
      <c r="I57"/>
      <c r="J57"/>
    </row>
    <row r="58" spans="2:10" ht="12.75">
      <c r="B58" s="2" t="s">
        <v>51</v>
      </c>
      <c r="C58" s="257">
        <f>stmt!E27</f>
        <v>2.5044428772919605</v>
      </c>
      <c r="D58" s="159" t="s">
        <v>236</v>
      </c>
      <c r="E58" s="4"/>
      <c r="F58" s="4"/>
      <c r="G58" s="2" t="s">
        <v>51</v>
      </c>
      <c r="H58" s="257">
        <f>stmt!G27</f>
        <v>5.5920828631875885</v>
      </c>
      <c r="I58" s="159" t="s">
        <v>236</v>
      </c>
      <c r="J58" s="4"/>
    </row>
    <row r="59" spans="2:10" ht="12.75">
      <c r="B59" s="2"/>
      <c r="C59" s="2"/>
      <c r="D59"/>
      <c r="E59"/>
      <c r="F59"/>
      <c r="G59" s="2"/>
      <c r="H59" s="2"/>
      <c r="I59"/>
      <c r="J59"/>
    </row>
    <row r="60" spans="2:10" ht="12.75">
      <c r="B60" s="2" t="s">
        <v>237</v>
      </c>
      <c r="C60" s="149">
        <f>database!Q43</f>
        <v>1717.3321579689703</v>
      </c>
      <c r="D60" t="s">
        <v>53</v>
      </c>
      <c r="E60"/>
      <c r="F60"/>
      <c r="G60" s="2" t="s">
        <v>237</v>
      </c>
      <c r="H60" s="149">
        <f>database!AN8</f>
        <v>4157.270433709444</v>
      </c>
      <c r="I60" t="s">
        <v>53</v>
      </c>
      <c r="J60"/>
    </row>
    <row r="61" spans="2:10" ht="12.75">
      <c r="B61" s="2" t="s">
        <v>52</v>
      </c>
      <c r="C61" s="149">
        <f>database!Q49</f>
        <v>7.4</v>
      </c>
      <c r="D61" s="160">
        <v>4</v>
      </c>
      <c r="E61"/>
      <c r="F61"/>
      <c r="G61" s="2" t="s">
        <v>52</v>
      </c>
      <c r="H61" s="149">
        <f>database!AN14</f>
        <v>8.5</v>
      </c>
      <c r="I61" s="160">
        <v>4</v>
      </c>
      <c r="J61"/>
    </row>
    <row r="62" spans="2:10" ht="12.75">
      <c r="B62" s="2" t="s">
        <v>32</v>
      </c>
      <c r="C62" s="149">
        <f>database!Q55</f>
        <v>-0.03822143864598023</v>
      </c>
      <c r="D62">
        <v>6</v>
      </c>
      <c r="E62"/>
      <c r="F62"/>
      <c r="G62" s="2" t="s">
        <v>32</v>
      </c>
      <c r="H62" s="149">
        <f>database!AN20</f>
        <v>-1.8566455747531696</v>
      </c>
      <c r="I62">
        <v>6</v>
      </c>
      <c r="J62"/>
    </row>
    <row r="63" spans="2:10" ht="12.75">
      <c r="B63" s="12" t="s">
        <v>31</v>
      </c>
      <c r="C63" s="149">
        <f>database!Q61</f>
        <v>0.24333356840620593</v>
      </c>
      <c r="D63" s="95"/>
      <c r="E63"/>
      <c r="F63"/>
      <c r="G63" s="12" t="s">
        <v>31</v>
      </c>
      <c r="H63" s="149">
        <f>database!AN26</f>
        <v>-0.47</v>
      </c>
      <c r="I63" s="95"/>
      <c r="J63"/>
    </row>
    <row r="64" spans="2:10" ht="12.75">
      <c r="B64" s="2" t="s">
        <v>285</v>
      </c>
      <c r="C64" s="258">
        <f>C71</f>
        <v>2.6999999999999993</v>
      </c>
      <c r="D64">
        <v>10</v>
      </c>
      <c r="E64"/>
      <c r="F64"/>
      <c r="G64" s="2" t="s">
        <v>285</v>
      </c>
      <c r="H64" s="259">
        <f>H71</f>
        <v>5.939585684062301</v>
      </c>
      <c r="I64">
        <v>10</v>
      </c>
      <c r="J64"/>
    </row>
    <row r="65" spans="2:10" ht="12.75">
      <c r="B65" s="12" t="s">
        <v>286</v>
      </c>
      <c r="C65" s="12"/>
      <c r="D65" s="95"/>
      <c r="E65"/>
      <c r="F65"/>
      <c r="G65" s="12"/>
      <c r="H65" s="12"/>
      <c r="I65" s="95"/>
      <c r="J65"/>
    </row>
    <row r="66" spans="2:10" ht="13.5" thickBot="1">
      <c r="B66" s="12"/>
      <c r="C66" s="12"/>
      <c r="D66" s="95"/>
      <c r="E66"/>
      <c r="F66"/>
      <c r="G66" s="12"/>
      <c r="H66" s="12"/>
      <c r="I66" s="95"/>
      <c r="J66"/>
    </row>
    <row r="67" spans="2:10" ht="13.5" thickBot="1">
      <c r="B67" s="115" t="s">
        <v>195</v>
      </c>
      <c r="E67" s="116">
        <v>0.74</v>
      </c>
      <c r="F67" s="117"/>
      <c r="G67" s="118"/>
      <c r="H67" s="119"/>
      <c r="I67"/>
      <c r="J67"/>
    </row>
    <row r="68" spans="2:10" ht="12.75">
      <c r="B68" s="2"/>
      <c r="C68" s="2"/>
      <c r="D68"/>
      <c r="E68"/>
      <c r="F68"/>
      <c r="G68" s="2"/>
      <c r="H68" s="2"/>
      <c r="I68"/>
      <c r="J68"/>
    </row>
    <row r="69" spans="2:10" ht="12.75">
      <c r="B69" s="120" t="s">
        <v>196</v>
      </c>
      <c r="C69" s="61">
        <v>29.4</v>
      </c>
      <c r="D69" s="121" t="s">
        <v>197</v>
      </c>
      <c r="E69" s="122">
        <f>stmt!E27+0.5</f>
        <v>3.0044428772919605</v>
      </c>
      <c r="F69" s="123"/>
      <c r="G69" s="120" t="s">
        <v>196</v>
      </c>
      <c r="H69" s="201">
        <f>database!AS13</f>
        <v>44.06041431593795</v>
      </c>
      <c r="I69" s="121" t="s">
        <v>197</v>
      </c>
      <c r="J69" s="512">
        <f>stmt!G27+0.5</f>
        <v>6.0920828631875885</v>
      </c>
    </row>
    <row r="70" spans="2:10" ht="12.75">
      <c r="B70" s="120" t="s">
        <v>198</v>
      </c>
      <c r="C70" s="61">
        <v>26.7</v>
      </c>
      <c r="D70" s="121" t="s">
        <v>199</v>
      </c>
      <c r="E70" s="122">
        <f>stmt!E27-0.5</f>
        <v>2.0044428772919605</v>
      </c>
      <c r="F70" s="123"/>
      <c r="G70" s="120" t="s">
        <v>198</v>
      </c>
      <c r="H70" s="201">
        <f>database!AW13</f>
        <v>38.120828631875646</v>
      </c>
      <c r="I70" s="121" t="s">
        <v>199</v>
      </c>
      <c r="J70" s="512">
        <f>stmt!G27-0.5</f>
        <v>5.0920828631875885</v>
      </c>
    </row>
    <row r="71" spans="2:8" ht="12.75">
      <c r="B71" s="124" t="s">
        <v>200</v>
      </c>
      <c r="C71" s="125">
        <f>C69-C70</f>
        <v>2.6999999999999993</v>
      </c>
      <c r="G71" s="124" t="s">
        <v>200</v>
      </c>
      <c r="H71" s="511">
        <f>H69-H70</f>
        <v>5.939585684062301</v>
      </c>
    </row>
    <row r="72" spans="2:6" ht="19.5" customHeight="1">
      <c r="B72" s="128" t="s">
        <v>238</v>
      </c>
      <c r="C72" s="950"/>
      <c r="D72" s="950"/>
      <c r="E72" s="950"/>
      <c r="F72" s="950"/>
    </row>
    <row r="73" ht="15.75" customHeight="1"/>
    <row r="74" spans="1:11" ht="19.5" customHeight="1">
      <c r="A74" s="119"/>
      <c r="B74" s="1" t="s">
        <v>121</v>
      </c>
      <c r="C74"/>
      <c r="D74"/>
      <c r="E74"/>
      <c r="F74"/>
      <c r="G74" s="1" t="s">
        <v>121</v>
      </c>
      <c r="H74"/>
      <c r="I74"/>
      <c r="J74"/>
      <c r="K74"/>
    </row>
    <row r="75" spans="2:11" ht="12.75">
      <c r="B75"/>
      <c r="C75" s="2" t="s">
        <v>106</v>
      </c>
      <c r="D75" s="2" t="s">
        <v>107</v>
      </c>
      <c r="E75" s="2" t="s">
        <v>108</v>
      </c>
      <c r="F75" s="235" t="s">
        <v>120</v>
      </c>
      <c r="G75"/>
      <c r="H75" s="2" t="s">
        <v>106</v>
      </c>
      <c r="I75" s="2" t="s">
        <v>107</v>
      </c>
      <c r="J75" s="2" t="s">
        <v>108</v>
      </c>
      <c r="K75" s="235" t="s">
        <v>120</v>
      </c>
    </row>
    <row r="76" spans="2:11" ht="12.75">
      <c r="B76" s="108" t="s">
        <v>104</v>
      </c>
      <c r="C76" s="8">
        <v>2.48</v>
      </c>
      <c r="D76" s="8">
        <v>2.5</v>
      </c>
      <c r="E76" s="5">
        <f>D76-C76</f>
        <v>0.020000000000000018</v>
      </c>
      <c r="F76"/>
      <c r="G76" s="108" t="s">
        <v>104</v>
      </c>
      <c r="H76" s="8">
        <v>5.66</v>
      </c>
      <c r="I76" s="8">
        <v>5.68</v>
      </c>
      <c r="J76" s="5">
        <f>I76-H76</f>
        <v>0.019999999999999574</v>
      </c>
      <c r="K76"/>
    </row>
    <row r="77" spans="2:11" ht="12.75">
      <c r="B77" s="67" t="s">
        <v>105</v>
      </c>
      <c r="C77" s="8">
        <v>1710</v>
      </c>
      <c r="D77" s="8">
        <v>1725</v>
      </c>
      <c r="E77" s="5">
        <f>D77-C77</f>
        <v>15</v>
      </c>
      <c r="F77" s="234">
        <f>E76/E77</f>
        <v>0.0013333333333333346</v>
      </c>
      <c r="G77" s="67" t="s">
        <v>105</v>
      </c>
      <c r="H77" s="8">
        <v>-1.893</v>
      </c>
      <c r="I77" s="8">
        <v>-1.903</v>
      </c>
      <c r="J77" s="5">
        <f>I77-H77</f>
        <v>-0.010000000000000009</v>
      </c>
      <c r="K77" s="234">
        <f>J76/J77</f>
        <v>-1.9999999999999556</v>
      </c>
    </row>
    <row r="78" spans="2:11" ht="12.75">
      <c r="B78"/>
      <c r="C78"/>
      <c r="D78"/>
      <c r="E78"/>
      <c r="F78"/>
      <c r="G78"/>
      <c r="H78"/>
      <c r="I78"/>
      <c r="J78"/>
      <c r="K78"/>
    </row>
    <row r="79" spans="2:11" ht="12.75">
      <c r="B79" s="57" t="s">
        <v>104</v>
      </c>
      <c r="C79" s="239">
        <f>C58</f>
        <v>2.5044428772919605</v>
      </c>
      <c r="D79" s="236">
        <f>C79-C76</f>
        <v>0.024442877291960485</v>
      </c>
      <c r="E79"/>
      <c r="F79"/>
      <c r="G79" s="57" t="s">
        <v>104</v>
      </c>
      <c r="H79" s="239">
        <f>H58</f>
        <v>5.5920828631875885</v>
      </c>
      <c r="I79" s="236">
        <f>H79-H76</f>
        <v>-0.06791713681241163</v>
      </c>
      <c r="J79"/>
      <c r="K79"/>
    </row>
    <row r="80" spans="2:11" ht="12.75">
      <c r="B80" s="238" t="s">
        <v>109</v>
      </c>
      <c r="C80" s="60">
        <f>C77+D79/F77</f>
        <v>1728.3321579689703</v>
      </c>
      <c r="D80"/>
      <c r="E80"/>
      <c r="F80"/>
      <c r="G80" s="238" t="s">
        <v>109</v>
      </c>
      <c r="H80" s="60">
        <f>H77+I79/K77</f>
        <v>-1.8590414315937935</v>
      </c>
      <c r="I80"/>
      <c r="J80"/>
      <c r="K80"/>
    </row>
    <row r="81" spans="2:8" ht="12.75">
      <c r="B81"/>
      <c r="C81"/>
      <c r="D81"/>
      <c r="E81"/>
      <c r="F81"/>
      <c r="G81"/>
      <c r="H81"/>
    </row>
  </sheetData>
  <mergeCells count="4">
    <mergeCell ref="B23:C23"/>
    <mergeCell ref="A11:J11"/>
    <mergeCell ref="G23:H23"/>
    <mergeCell ref="C72:F72"/>
  </mergeCells>
  <printOptions/>
  <pageMargins left="0.75" right="0.75" top="1" bottom="1" header="0.5" footer="0.5"/>
  <pageSetup horizontalDpi="360" verticalDpi="36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Farley Trading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Load Calculation</dc:title>
  <dc:subject>Ship's Stability &amp; Trim Information</dc:subject>
  <dc:creator>G.A.P</dc:creator>
  <cp:keywords/>
  <dc:description>This is to simplify as much as possible your
Stability and Trim calculations.
The process is fully automatizied.
Remember, however, that for grain stab this program is applicable for draft range from 4.00 to 5.90 meters ONLY !
Read carefully all notes, instructions and guidances before use. GOOD LUCK!</dc:description>
  <cp:lastModifiedBy>Bratello Zhoran</cp:lastModifiedBy>
  <cp:lastPrinted>2000-12-08T01:05:12Z</cp:lastPrinted>
  <dcterms:created xsi:type="dcterms:W3CDTF">2000-07-02T18:33:37Z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