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Лист1" sheetId="1" r:id="rId1"/>
    <sheet name="Лист2" sheetId="2" r:id="rId2"/>
    <sheet name="Лист3" sheetId="3" r:id="rId3"/>
  </sheets>
  <definedNames>
    <definedName name="Displacement">'Лист1'!$D$42</definedName>
    <definedName name="Total_Mx">'Лист1'!$H$42</definedName>
    <definedName name="Total_Mz">'Лист1'!$F$42</definedName>
    <definedName name="Total_Xg">'Лист1'!$G$42</definedName>
    <definedName name="Total_Zg">'Лист1'!$E$42</definedName>
    <definedName name="Xg0">'Лист1'!$G$40</definedName>
    <definedName name="Zg">'Лист1'!$E$42</definedName>
    <definedName name="Zg0_KG">'Лист1'!$E$40</definedName>
  </definedNames>
  <calcPr fullCalcOnLoad="1"/>
</workbook>
</file>

<file path=xl/sharedStrings.xml><?xml version="1.0" encoding="utf-8"?>
<sst xmlns="http://schemas.openxmlformats.org/spreadsheetml/2006/main" count="195" uniqueCount="121">
  <si>
    <t>Статьи нагрузки/ Denomination</t>
  </si>
  <si>
    <t>P,
т / t</t>
  </si>
  <si>
    <t>Судно порожнем/Light ship</t>
  </si>
  <si>
    <t>Экипаж/Crew</t>
  </si>
  <si>
    <t>Проовизия/Provision</t>
  </si>
  <si>
    <t>Цистерна ДТ расходная 2.1
Diesel oil tank, service</t>
  </si>
  <si>
    <t>Топливо/Fuel Oil:</t>
  </si>
  <si>
    <t>Цистерна ДТ 2.3 ЛБ
Dieseloil tank Port</t>
  </si>
  <si>
    <t>Цистерна ДТ 2.2 ПрБ
Diesel oil tank Stbd</t>
  </si>
  <si>
    <t>Цистерна моторного топлива 3.1
Fuel tank</t>
  </si>
  <si>
    <t>Цистерна моторного топлива
расходная 3.2/Fuel tank, service</t>
  </si>
  <si>
    <t>Цистерна моторного топлива
отстойная 3.3/Setlling fuel tank</t>
  </si>
  <si>
    <t>Масло/ Lubrication oil tank 10.1</t>
  </si>
  <si>
    <t>Вода:</t>
  </si>
  <si>
    <t>Цистерна питьевой воды 4.1ЛБ
Domestic water tank Port</t>
  </si>
  <si>
    <t>Цистерна пресной воды 5.1 ЛБ
Fressh water tank Port</t>
  </si>
  <si>
    <t>Цистерна котельной воды 6.1 ЛБ
Boiler water tank Port</t>
  </si>
  <si>
    <t>Цистерна трюмной воды 7.1 ЛБ
Bilge tank Port</t>
  </si>
  <si>
    <t>Цистерна сточная 8.1
Drain tank</t>
  </si>
  <si>
    <t>Цистерна фановая 9.1 ПрБ
Sewage tank Stbd</t>
  </si>
  <si>
    <t>Балласт:</t>
  </si>
  <si>
    <t>Груз/Cargo:</t>
  </si>
  <si>
    <t>Трюм № 2/Hold No. 2</t>
  </si>
  <si>
    <t>Трюм № 1/Hold No. 1</t>
  </si>
  <si>
    <r>
      <t>l</t>
    </r>
    <r>
      <rPr>
        <sz val="8"/>
        <rFont val="Arial Cyr"/>
        <family val="2"/>
      </rPr>
      <t>ст,</t>
    </r>
    <r>
      <rPr>
        <sz val="10"/>
        <rFont val="Arial Cyr"/>
        <family val="2"/>
      </rPr>
      <t xml:space="preserve"> м / m</t>
    </r>
  </si>
  <si>
    <r>
      <t>l</t>
    </r>
    <r>
      <rPr>
        <sz val="8"/>
        <rFont val="Arial Cyr"/>
        <family val="2"/>
      </rPr>
      <t>ф</t>
    </r>
    <r>
      <rPr>
        <sz val="10"/>
        <rFont val="Arial Cyr"/>
        <family val="2"/>
      </rPr>
      <t>, м / m</t>
    </r>
  </si>
  <si>
    <r>
      <t>l</t>
    </r>
    <r>
      <rPr>
        <sz val="8"/>
        <rFont val="Arial Cyr"/>
        <family val="2"/>
      </rPr>
      <t>d</t>
    </r>
    <r>
      <rPr>
        <sz val="10"/>
        <rFont val="Arial Cyr"/>
        <family val="2"/>
      </rPr>
      <t>, м / m</t>
    </r>
  </si>
  <si>
    <r>
      <t>Z</t>
    </r>
    <r>
      <rPr>
        <b/>
        <vertAlign val="subscript"/>
        <sz val="10"/>
        <rFont val="Arial Cyr"/>
        <family val="2"/>
      </rPr>
      <t>g</t>
    </r>
    <r>
      <rPr>
        <b/>
        <sz val="8"/>
        <rFont val="Arial Cyr"/>
        <family val="2"/>
      </rPr>
      <t xml:space="preserve">,
</t>
    </r>
    <r>
      <rPr>
        <b/>
        <sz val="10"/>
        <rFont val="Arial Cyr"/>
        <family val="2"/>
      </rPr>
      <t>м / m</t>
    </r>
  </si>
  <si>
    <r>
      <t>M</t>
    </r>
    <r>
      <rPr>
        <b/>
        <vertAlign val="subscript"/>
        <sz val="10"/>
        <rFont val="Arial Cyr"/>
        <family val="2"/>
      </rPr>
      <t>z</t>
    </r>
    <r>
      <rPr>
        <b/>
        <sz val="10"/>
        <rFont val="Arial Cyr"/>
        <family val="2"/>
      </rPr>
      <t>,
тм / tm</t>
    </r>
  </si>
  <si>
    <r>
      <t>X</t>
    </r>
    <r>
      <rPr>
        <b/>
        <vertAlign val="subscript"/>
        <sz val="10"/>
        <rFont val="Arial Cyr"/>
        <family val="2"/>
      </rPr>
      <t>g</t>
    </r>
    <r>
      <rPr>
        <b/>
        <sz val="10"/>
        <rFont val="Arial Cyr"/>
        <family val="2"/>
      </rPr>
      <t>,
м / m</t>
    </r>
  </si>
  <si>
    <r>
      <t>M</t>
    </r>
    <r>
      <rPr>
        <b/>
        <vertAlign val="subscript"/>
        <sz val="10"/>
        <rFont val="Arial Cyr"/>
        <family val="2"/>
      </rPr>
      <t>x</t>
    </r>
    <r>
      <rPr>
        <b/>
        <sz val="10"/>
        <rFont val="Arial Cyr"/>
        <family val="2"/>
      </rPr>
      <t>,
тм / tm</t>
    </r>
  </si>
  <si>
    <r>
      <t xml:space="preserve">Поправки на
сввоб. поверхн.
Free surface
correction
</t>
    </r>
    <r>
      <rPr>
        <b/>
        <sz val="10"/>
        <rFont val="Symbol"/>
        <family val="1"/>
      </rPr>
      <t>D</t>
    </r>
    <r>
      <rPr>
        <b/>
        <sz val="10"/>
        <rFont val="Arial Cyr"/>
        <family val="2"/>
      </rPr>
      <t>m</t>
    </r>
    <r>
      <rPr>
        <b/>
        <vertAlign val="subscript"/>
        <sz val="10"/>
        <rFont val="Arial Cyr"/>
        <family val="2"/>
      </rPr>
      <t>h</t>
    </r>
    <r>
      <rPr>
        <b/>
        <sz val="10"/>
        <rFont val="Arial Cyr"/>
        <family val="2"/>
      </rPr>
      <t>, тм / tm</t>
    </r>
  </si>
  <si>
    <t>Мертвый запас / Constant</t>
  </si>
  <si>
    <t>Цистерна форпика 1.7 (1)
Forepeak tank</t>
  </si>
  <si>
    <t>Цистерна балластная 1.5 (2) ЛБ
Ballast tank 2 Port</t>
  </si>
  <si>
    <t>Цистерна балластная 1.5 (3) ПрБ
Ballast tank 3 Stbd</t>
  </si>
  <si>
    <t>Цистерна балластная 1.3 (4) ЛБ
Ballast tank 4 Port</t>
  </si>
  <si>
    <t>Цистерна балластная 1.4 (5) ПрБ
Ballast tank 5 Stbd</t>
  </si>
  <si>
    <t>Цистерна балластная 1.1 (6) ЛБ
Ballast tank 6 Port</t>
  </si>
  <si>
    <t>Цистерна балластная 1.2 (7) ПрБ
Ballast tank 7 Stbd</t>
  </si>
  <si>
    <t>Водоизмещение / Displacement:</t>
  </si>
  <si>
    <t>Сточные воды / Sewage water:</t>
  </si>
  <si>
    <t>№
п/п</t>
  </si>
  <si>
    <t>Всего/Total D:</t>
  </si>
  <si>
    <r>
      <t>Z</t>
    </r>
    <r>
      <rPr>
        <vertAlign val="subscript"/>
        <sz val="10"/>
        <rFont val="Arial Cyr"/>
        <family val="2"/>
      </rPr>
      <t>m</t>
    </r>
  </si>
  <si>
    <t>=</t>
  </si>
  <si>
    <r>
      <t>h</t>
    </r>
    <r>
      <rPr>
        <vertAlign val="subscript"/>
        <sz val="10"/>
        <rFont val="Arial Cyr"/>
        <family val="2"/>
      </rPr>
      <t xml:space="preserve">0 </t>
    </r>
    <r>
      <rPr>
        <sz val="10"/>
        <rFont val="Arial Cyr"/>
        <family val="2"/>
      </rPr>
      <t>= Z</t>
    </r>
    <r>
      <rPr>
        <vertAlign val="subscript"/>
        <sz val="10"/>
        <rFont val="Arial Cyr"/>
        <family val="2"/>
      </rPr>
      <t>m</t>
    </r>
    <r>
      <rPr>
        <sz val="10"/>
        <rFont val="Arial Cyr"/>
        <family val="2"/>
      </rPr>
      <t xml:space="preserve"> - Z</t>
    </r>
    <r>
      <rPr>
        <vertAlign val="subscript"/>
        <sz val="10"/>
        <rFont val="Arial Cyr"/>
        <family val="2"/>
      </rPr>
      <t>g0</t>
    </r>
  </si>
  <si>
    <t>B</t>
  </si>
  <si>
    <t>L</t>
  </si>
  <si>
    <r>
      <t>Z</t>
    </r>
    <r>
      <rPr>
        <vertAlign val="subscript"/>
        <sz val="10"/>
        <rFont val="Arial Cyr"/>
        <family val="2"/>
      </rPr>
      <t>g0</t>
    </r>
  </si>
  <si>
    <r>
      <t>Общая площадь скуловых килей А</t>
    </r>
    <r>
      <rPr>
        <vertAlign val="subscript"/>
        <sz val="10"/>
        <rFont val="Arial Cyr"/>
        <family val="2"/>
      </rPr>
      <t xml:space="preserve">к </t>
    </r>
    <r>
      <rPr>
        <sz val="10"/>
        <rFont val="Arial Cyr"/>
        <family val="2"/>
      </rPr>
      <t>=</t>
    </r>
  </si>
  <si>
    <t>d</t>
  </si>
  <si>
    <t>B/d</t>
  </si>
  <si>
    <r>
      <t>X</t>
    </r>
    <r>
      <rPr>
        <vertAlign val="subscript"/>
        <sz val="10"/>
        <rFont val="Arial Cyr"/>
        <family val="2"/>
      </rPr>
      <t>1</t>
    </r>
  </si>
  <si>
    <r>
      <t>C</t>
    </r>
    <r>
      <rPr>
        <vertAlign val="subscript"/>
        <sz val="10"/>
        <rFont val="Arial Cyr"/>
        <family val="2"/>
      </rPr>
      <t>B</t>
    </r>
  </si>
  <si>
    <r>
      <t>X</t>
    </r>
    <r>
      <rPr>
        <vertAlign val="subscript"/>
        <sz val="10"/>
        <rFont val="Arial Cyr"/>
        <family val="2"/>
      </rPr>
      <t>2</t>
    </r>
  </si>
  <si>
    <r>
      <t>Ö</t>
    </r>
    <r>
      <rPr>
        <sz val="10"/>
        <rFont val="Arial Cyr"/>
        <family val="2"/>
      </rPr>
      <t>h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2"/>
      </rPr>
      <t>/B</t>
    </r>
  </si>
  <si>
    <t>Y</t>
  </si>
  <si>
    <r>
      <t>q</t>
    </r>
    <r>
      <rPr>
        <vertAlign val="subscript"/>
        <sz val="10"/>
        <rFont val="Arial Cyr"/>
        <family val="2"/>
      </rPr>
      <t>1r</t>
    </r>
  </si>
  <si>
    <r>
      <t>X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>X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Y</t>
    </r>
  </si>
  <si>
    <t>°</t>
  </si>
  <si>
    <r>
      <t>А</t>
    </r>
    <r>
      <rPr>
        <vertAlign val="subscript"/>
        <sz val="10"/>
        <rFont val="Arial Cyr"/>
        <family val="2"/>
      </rPr>
      <t>к</t>
    </r>
    <r>
      <rPr>
        <sz val="10"/>
        <rFont val="Arial Cyr"/>
        <family val="2"/>
      </rPr>
      <t>/(LB)</t>
    </r>
  </si>
  <si>
    <t>k</t>
  </si>
  <si>
    <r>
      <t>q</t>
    </r>
    <r>
      <rPr>
        <vertAlign val="subscript"/>
        <sz val="10"/>
        <rFont val="Arial Cyr"/>
        <family val="2"/>
      </rPr>
      <t>2r</t>
    </r>
  </si>
  <si>
    <r>
      <t>k</t>
    </r>
    <r>
      <rPr>
        <sz val="10"/>
        <rFont val="Symbol"/>
        <family val="1"/>
      </rPr>
      <t>q</t>
    </r>
    <r>
      <rPr>
        <vertAlign val="subscript"/>
        <sz val="10"/>
        <rFont val="Arial Cyr"/>
        <family val="2"/>
      </rPr>
      <t>1r</t>
    </r>
  </si>
  <si>
    <r>
      <t>A</t>
    </r>
    <r>
      <rPr>
        <vertAlign val="subscript"/>
        <sz val="10"/>
        <rFont val="Arial Cyr"/>
        <family val="2"/>
      </rPr>
      <t>v</t>
    </r>
  </si>
  <si>
    <t>z</t>
  </si>
  <si>
    <r>
      <t>p</t>
    </r>
    <r>
      <rPr>
        <vertAlign val="subscript"/>
        <sz val="10"/>
        <rFont val="Arial Cyr"/>
        <family val="2"/>
      </rPr>
      <t>v</t>
    </r>
  </si>
  <si>
    <r>
      <t>M</t>
    </r>
    <r>
      <rPr>
        <vertAlign val="subscript"/>
        <sz val="10"/>
        <rFont val="Arial Cyr"/>
        <family val="2"/>
      </rPr>
      <t>v</t>
    </r>
  </si>
  <si>
    <r>
      <t>0,001p</t>
    </r>
    <r>
      <rPr>
        <vertAlign val="subscript"/>
        <sz val="10"/>
        <rFont val="Arial Cyr"/>
        <family val="2"/>
      </rPr>
      <t>v</t>
    </r>
    <r>
      <rPr>
        <sz val="10"/>
        <rFont val="Arial Cyr"/>
        <family val="0"/>
      </rPr>
      <t>A</t>
    </r>
    <r>
      <rPr>
        <vertAlign val="subscript"/>
        <sz val="10"/>
        <rFont val="Arial Cyr"/>
        <family val="2"/>
      </rPr>
      <t>v</t>
    </r>
    <r>
      <rPr>
        <sz val="10"/>
        <rFont val="Arial Cyr"/>
        <family val="0"/>
      </rPr>
      <t>z</t>
    </r>
  </si>
  <si>
    <t>тм</t>
  </si>
  <si>
    <r>
      <t>Плечо допустимого кренящего момента l</t>
    </r>
    <r>
      <rPr>
        <vertAlign val="subscript"/>
        <sz val="10"/>
        <rFont val="Arial Cyr"/>
        <family val="2"/>
      </rPr>
      <t>c</t>
    </r>
  </si>
  <si>
    <r>
      <t>M</t>
    </r>
    <r>
      <rPr>
        <vertAlign val="subscript"/>
        <sz val="10"/>
        <rFont val="Arial Cyr"/>
        <family val="2"/>
      </rPr>
      <t>c</t>
    </r>
  </si>
  <si>
    <r>
      <t>Dl</t>
    </r>
    <r>
      <rPr>
        <vertAlign val="subscript"/>
        <sz val="10"/>
        <rFont val="Arial Cyr"/>
        <family val="2"/>
      </rPr>
      <t>c</t>
    </r>
  </si>
  <si>
    <t>K</t>
  </si>
  <si>
    <r>
      <t>M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0"/>
      </rPr>
      <t>/M</t>
    </r>
    <r>
      <rPr>
        <vertAlign val="subscript"/>
        <sz val="10"/>
        <rFont val="Arial Cyr"/>
        <family val="2"/>
      </rPr>
      <t>v</t>
    </r>
  </si>
  <si>
    <t>³</t>
  </si>
  <si>
    <t>g</t>
  </si>
  <si>
    <r>
      <t>т/м</t>
    </r>
    <r>
      <rPr>
        <vertAlign val="superscript"/>
        <sz val="10"/>
        <rFont val="Arial Cyr"/>
        <family val="2"/>
      </rPr>
      <t>3</t>
    </r>
  </si>
  <si>
    <t>,</t>
  </si>
  <si>
    <r>
      <t>D</t>
    </r>
    <r>
      <rPr>
        <sz val="10"/>
        <rFont val="Arial Cyr"/>
        <family val="0"/>
      </rPr>
      <t>/</t>
    </r>
    <r>
      <rPr>
        <sz val="10"/>
        <rFont val="Symbol"/>
        <family val="1"/>
      </rPr>
      <t>g</t>
    </r>
  </si>
  <si>
    <r>
      <t>м</t>
    </r>
    <r>
      <rPr>
        <vertAlign val="superscript"/>
        <sz val="10"/>
        <rFont val="Arial Cyr"/>
        <family val="2"/>
      </rPr>
      <t>3</t>
    </r>
  </si>
  <si>
    <r>
      <t>h</t>
    </r>
    <r>
      <rPr>
        <vertAlign val="subscript"/>
        <sz val="10"/>
        <rFont val="Arial Cyr"/>
        <family val="2"/>
      </rPr>
      <t>0</t>
    </r>
  </si>
  <si>
    <r>
      <t>3</t>
    </r>
    <r>
      <rPr>
        <sz val="10"/>
        <rFont val="Symbol"/>
        <family val="1"/>
      </rPr>
      <t>Ö</t>
    </r>
    <r>
      <rPr>
        <sz val="12"/>
        <rFont val="Map Symbols"/>
        <family val="1"/>
      </rPr>
      <t>,</t>
    </r>
  </si>
  <si>
    <r>
      <t>Z</t>
    </r>
    <r>
      <rPr>
        <vertAlign val="subscript"/>
        <sz val="10"/>
        <rFont val="Arial Cyr"/>
        <family val="2"/>
      </rPr>
      <t>g</t>
    </r>
  </si>
  <si>
    <r>
      <t>m</t>
    </r>
    <r>
      <rPr>
        <vertAlign val="subscript"/>
        <sz val="10"/>
        <rFont val="Arial Cyr"/>
        <family val="2"/>
      </rPr>
      <t>0</t>
    </r>
  </si>
  <si>
    <t>m</t>
  </si>
  <si>
    <r>
      <t>m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>/</t>
    </r>
    <r>
      <rPr>
        <sz val="10"/>
        <rFont val="Symbol"/>
        <family val="1"/>
      </rPr>
      <t>Ö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0</t>
    </r>
  </si>
  <si>
    <r>
      <t>a</t>
    </r>
    <r>
      <rPr>
        <vertAlign val="subscript"/>
        <sz val="10"/>
        <rFont val="Arial Cyr"/>
        <family val="2"/>
      </rPr>
      <t>расч</t>
    </r>
  </si>
  <si>
    <r>
      <t>1,1</t>
    </r>
    <r>
      <rPr>
        <sz val="10"/>
        <rFont val="Symbol"/>
        <family val="1"/>
      </rPr>
      <t>×</t>
    </r>
    <r>
      <rPr>
        <sz val="10"/>
        <rFont val="Arial Cyr"/>
        <family val="0"/>
      </rPr>
      <t>10</t>
    </r>
    <r>
      <rPr>
        <vertAlign val="superscript"/>
        <sz val="10"/>
        <rFont val="Arial Cyr"/>
        <family val="2"/>
      </rPr>
      <t>-3</t>
    </r>
    <r>
      <rPr>
        <sz val="10"/>
        <rFont val="Arial Cyr"/>
        <family val="0"/>
      </rPr>
      <t>Bm</t>
    </r>
    <r>
      <rPr>
        <vertAlign val="superscript"/>
        <sz val="10"/>
        <rFont val="Arial Cyr"/>
        <family val="2"/>
      </rPr>
      <t>2</t>
    </r>
    <r>
      <rPr>
        <sz val="10"/>
        <rFont val="Symbol"/>
        <family val="1"/>
      </rPr>
      <t>q</t>
    </r>
    <r>
      <rPr>
        <vertAlign val="subscript"/>
        <sz val="10"/>
        <rFont val="Arial Cyr"/>
        <family val="2"/>
      </rPr>
      <t>r</t>
    </r>
  </si>
  <si>
    <t>K*</t>
  </si>
  <si>
    <r>
      <t>0,3/a</t>
    </r>
    <r>
      <rPr>
        <vertAlign val="subscript"/>
        <sz val="10"/>
        <rFont val="Arial Cyr"/>
        <family val="2"/>
      </rPr>
      <t>расч</t>
    </r>
  </si>
  <si>
    <r>
      <t xml:space="preserve">Интегр. </t>
    </r>
    <r>
      <rPr>
        <sz val="10"/>
        <rFont val="Symbol"/>
        <family val="1"/>
      </rPr>
      <t>S</t>
    </r>
  </si>
  <si>
    <r>
      <t xml:space="preserve">Угол крена,
 </t>
    </r>
    <r>
      <rPr>
        <sz val="10"/>
        <rFont val="Symbol"/>
        <family val="1"/>
      </rPr>
      <t>q°</t>
    </r>
  </si>
  <si>
    <t>Намоканиение/Water absorbtion</t>
  </si>
  <si>
    <r>
      <t>q</t>
    </r>
    <r>
      <rPr>
        <vertAlign val="subscript"/>
        <sz val="10"/>
        <rFont val="Arial Cyr"/>
        <family val="2"/>
      </rPr>
      <t>f</t>
    </r>
  </si>
  <si>
    <t>Расчет остойчивости т/х "СТК 1012"</t>
  </si>
  <si>
    <t>2 штурман т/х "СТК 1012"_________________ Фомичев А.Е.</t>
  </si>
  <si>
    <r>
      <t>q</t>
    </r>
    <r>
      <rPr>
        <vertAlign val="subscript"/>
        <sz val="10"/>
        <rFont val="Arial Cyr"/>
        <family val="2"/>
      </rPr>
      <t>m</t>
    </r>
  </si>
  <si>
    <r>
      <t>q</t>
    </r>
    <r>
      <rPr>
        <vertAlign val="subscript"/>
        <sz val="10"/>
        <rFont val="Arial Cyr"/>
        <family val="2"/>
      </rPr>
      <t>v</t>
    </r>
  </si>
  <si>
    <t>м</t>
  </si>
  <si>
    <r>
      <t>h</t>
    </r>
    <r>
      <rPr>
        <vertAlign val="subscript"/>
        <sz val="10"/>
        <rFont val="Arial Cyr"/>
        <family val="2"/>
      </rPr>
      <t xml:space="preserve"> </t>
    </r>
    <r>
      <rPr>
        <sz val="10"/>
        <rFont val="Arial Cyr"/>
        <family val="2"/>
      </rPr>
      <t>= Z</t>
    </r>
    <r>
      <rPr>
        <vertAlign val="subscript"/>
        <sz val="10"/>
        <rFont val="Arial Cyr"/>
        <family val="2"/>
      </rPr>
      <t>m</t>
    </r>
    <r>
      <rPr>
        <sz val="10"/>
        <rFont val="Arial Cyr"/>
        <family val="2"/>
      </rPr>
      <t xml:space="preserve"> - Z</t>
    </r>
    <r>
      <rPr>
        <vertAlign val="subscript"/>
        <sz val="10"/>
        <rFont val="Arial Cyr"/>
        <family val="2"/>
      </rPr>
      <t>g</t>
    </r>
  </si>
  <si>
    <r>
      <t>Z</t>
    </r>
    <r>
      <rPr>
        <vertAlign val="subscript"/>
        <sz val="10"/>
        <rFont val="Arial Cyr"/>
        <family val="2"/>
      </rPr>
      <t>c</t>
    </r>
  </si>
  <si>
    <r>
      <t>R</t>
    </r>
    <r>
      <rPr>
        <vertAlign val="subscript"/>
        <sz val="10"/>
        <rFont val="Arial Cyr"/>
        <family val="2"/>
      </rPr>
      <t>l</t>
    </r>
  </si>
  <si>
    <r>
      <t>X</t>
    </r>
    <r>
      <rPr>
        <vertAlign val="subscript"/>
        <sz val="10"/>
        <rFont val="Arial Cyr"/>
        <family val="2"/>
      </rPr>
      <t>f</t>
    </r>
  </si>
  <si>
    <t>H</t>
  </si>
  <si>
    <r>
      <t>Z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0"/>
      </rPr>
      <t>+R</t>
    </r>
    <r>
      <rPr>
        <vertAlign val="subscript"/>
        <sz val="10"/>
        <rFont val="Arial Cyr"/>
        <family val="2"/>
      </rPr>
      <t>l</t>
    </r>
    <r>
      <rPr>
        <sz val="10"/>
        <rFont val="Arial Cyr"/>
        <family val="0"/>
      </rPr>
      <t>-Z</t>
    </r>
    <r>
      <rPr>
        <vertAlign val="subscript"/>
        <sz val="10"/>
        <rFont val="Arial Cyr"/>
        <family val="2"/>
      </rPr>
      <t>g</t>
    </r>
  </si>
  <si>
    <r>
      <t>X</t>
    </r>
    <r>
      <rPr>
        <vertAlign val="subscript"/>
        <sz val="10"/>
        <rFont val="Arial Cyr"/>
        <family val="2"/>
      </rPr>
      <t>c</t>
    </r>
  </si>
  <si>
    <t>(Mx-D*Xc)/(D*H)</t>
  </si>
  <si>
    <r>
      <t>L</t>
    </r>
    <r>
      <rPr>
        <vertAlign val="subscript"/>
        <sz val="10"/>
        <rFont val="Symbol"/>
        <family val="1"/>
      </rPr>
      <t>^^</t>
    </r>
  </si>
  <si>
    <r>
      <t>d</t>
    </r>
    <r>
      <rPr>
        <vertAlign val="subscript"/>
        <sz val="10"/>
        <rFont val="Arial Cyr"/>
        <family val="2"/>
      </rPr>
      <t>н</t>
    </r>
  </si>
  <si>
    <r>
      <t>d+(L/2-X</t>
    </r>
    <r>
      <rPr>
        <vertAlign val="subscript"/>
        <sz val="10"/>
        <rFont val="Arial Cyr"/>
        <family val="2"/>
      </rPr>
      <t>f</t>
    </r>
    <r>
      <rPr>
        <sz val="10"/>
        <rFont val="Arial Cyr"/>
        <family val="0"/>
      </rPr>
      <t>)*</t>
    </r>
    <r>
      <rPr>
        <sz val="10"/>
        <rFont val="Symbol"/>
        <family val="1"/>
      </rPr>
      <t>Y</t>
    </r>
  </si>
  <si>
    <r>
      <t>d</t>
    </r>
    <r>
      <rPr>
        <vertAlign val="subscript"/>
        <sz val="10"/>
        <rFont val="Arial Cyr"/>
        <family val="2"/>
      </rPr>
      <t>к</t>
    </r>
  </si>
  <si>
    <r>
      <t>d-(L/2+X</t>
    </r>
    <r>
      <rPr>
        <vertAlign val="subscript"/>
        <sz val="10"/>
        <rFont val="Arial Cyr"/>
        <family val="2"/>
      </rPr>
      <t>f</t>
    </r>
    <r>
      <rPr>
        <sz val="10"/>
        <rFont val="Arial Cyr"/>
        <family val="0"/>
      </rPr>
      <t>)*</t>
    </r>
    <r>
      <rPr>
        <sz val="10"/>
        <rFont val="Symbol"/>
        <family val="1"/>
      </rPr>
      <t>Y</t>
    </r>
  </si>
  <si>
    <t>Капитан т/х "СТК 1012"_________________ Нестеров А.С.</t>
  </si>
  <si>
    <t xml:space="preserve">На палубе трюм №1  (h=2,7 м)
On deck </t>
  </si>
  <si>
    <r>
      <t>l</t>
    </r>
    <r>
      <rPr>
        <vertAlign val="subscript"/>
        <sz val="10"/>
        <rFont val="Arial Cyr"/>
        <family val="2"/>
      </rPr>
      <t>max</t>
    </r>
  </si>
  <si>
    <t xml:space="preserve">На палубе трюм №2  (h=3,4 м)
On deck </t>
  </si>
  <si>
    <t>следует из порта Новокемск в порт Варкаус (Финляндия)</t>
  </si>
  <si>
    <t>11.09.2001 г.</t>
  </si>
  <si>
    <r>
      <t xml:space="preserve">с грузом березового баланса, </t>
    </r>
    <r>
      <rPr>
        <b/>
        <sz val="10"/>
        <rFont val="Arial Cyr"/>
        <family val="2"/>
      </rPr>
      <t xml:space="preserve">1275 куб.м, 1326 т.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</si>
</sst>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00000"/>
    <numFmt numFmtId="169" formatCode="_-* #,##0.0&quot;р.&quot;_-;\-* #,##0.0&quot;р.&quot;_-;_-* &quot;-&quot;??&quot;р.&quot;_-;_-@_-"/>
    <numFmt numFmtId="170" formatCode="0.0%"/>
    <numFmt numFmtId="171" formatCode="0.0000000"/>
    <numFmt numFmtId="172" formatCode="0.000000"/>
  </numFmts>
  <fonts count="1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Symbol"/>
      <family val="1"/>
    </font>
    <font>
      <b/>
      <sz val="8"/>
      <name val="Arial Cyr"/>
      <family val="2"/>
    </font>
    <font>
      <sz val="10"/>
      <name val="Symbol"/>
      <family val="1"/>
    </font>
    <font>
      <b/>
      <vertAlign val="subscript"/>
      <sz val="10"/>
      <name val="Arial Cyr"/>
      <family val="2"/>
    </font>
    <font>
      <i/>
      <sz val="10"/>
      <name val="Arial Cyr"/>
      <family val="2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1"/>
      <name val="Map Symbols"/>
      <family val="1"/>
    </font>
    <font>
      <sz val="12"/>
      <name val="Map Symbols"/>
      <family val="1"/>
    </font>
    <font>
      <b/>
      <sz val="9.75"/>
      <name val="Arial Cyr"/>
      <family val="2"/>
    </font>
    <font>
      <vertAlign val="superscript"/>
      <sz val="9.75"/>
      <name val="Arial Cyr"/>
      <family val="2"/>
    </font>
    <font>
      <sz val="18.5"/>
      <name val="Arial Cyr"/>
      <family val="0"/>
    </font>
    <font>
      <sz val="15.5"/>
      <name val="Arial Cyr"/>
      <family val="0"/>
    </font>
    <font>
      <vertAlign val="subscript"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justify"/>
    </xf>
    <xf numFmtId="0" fontId="7" fillId="0" borderId="1" xfId="0" applyFont="1" applyBorder="1" applyAlignment="1">
      <alignment vertical="justify" wrapText="1"/>
    </xf>
    <xf numFmtId="16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164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7" fillId="0" borderId="6" xfId="0" applyNumberFormat="1" applyFont="1" applyBorder="1" applyAlignment="1">
      <alignment vertical="center"/>
    </xf>
    <xf numFmtId="2" fontId="7" fillId="0" borderId="6" xfId="0" applyNumberFormat="1" applyFont="1" applyBorder="1" applyAlignment="1">
      <alignment vertical="center"/>
    </xf>
    <xf numFmtId="0" fontId="7" fillId="0" borderId="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7" xfId="15" applyNumberFormat="1" applyBorder="1" applyAlignment="1">
      <alignment horizontal="center"/>
    </xf>
    <xf numFmtId="2" fontId="0" fillId="0" borderId="8" xfId="15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Диаграмма статичесекой и динамической остойчивости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2875"/>
          <c:w val="0.8765"/>
          <c:h val="0.770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Лист3!$B$1:$O$1</c:f>
              <c:numCache/>
            </c:numRef>
          </c:xVal>
          <c:yVal>
            <c:numRef>
              <c:f>Лист3!$B$3:$O$3</c:f>
              <c:numCache>
                <c:ptCount val="14"/>
                <c:pt idx="0">
                  <c:v>-0.47998029216716276</c:v>
                </c:pt>
                <c:pt idx="1">
                  <c:v>-0.49756027704353034</c:v>
                </c:pt>
                <c:pt idx="2">
                  <c:v>-0.2734832294977747</c:v>
                </c:pt>
                <c:pt idx="3">
                  <c:v>-0.11791452818951376</c:v>
                </c:pt>
                <c:pt idx="4">
                  <c:v>0</c:v>
                </c:pt>
                <c:pt idx="5">
                  <c:v>0.11791452818951376</c:v>
                </c:pt>
                <c:pt idx="6">
                  <c:v>0.2734832294977747</c:v>
                </c:pt>
                <c:pt idx="7">
                  <c:v>0.49756027704353034</c:v>
                </c:pt>
                <c:pt idx="8">
                  <c:v>0.47998029216716276</c:v>
                </c:pt>
                <c:pt idx="9">
                  <c:v>0.22875834443068888</c:v>
                </c:pt>
                <c:pt idx="10">
                  <c:v>-0.12432960016060512</c:v>
                </c:pt>
                <c:pt idx="11">
                  <c:v>-0.5185820153243887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Лист3!$B$1:$O$1</c:f>
              <c:numCache/>
            </c:numRef>
          </c:xVal>
          <c:yVal>
            <c:numRef>
              <c:f>Лист3!$B$5:$O$5</c:f>
              <c:numCache>
                <c:ptCount val="14"/>
                <c:pt idx="0">
                  <c:v>-0.19688856273403138</c:v>
                </c:pt>
                <c:pt idx="1">
                  <c:v>-0.11164702509885896</c:v>
                </c:pt>
                <c:pt idx="2">
                  <c:v>-0.044412031328457155</c:v>
                </c:pt>
                <c:pt idx="3">
                  <c:v>-0.010282146858125599</c:v>
                </c:pt>
                <c:pt idx="4">
                  <c:v>0</c:v>
                </c:pt>
                <c:pt idx="5">
                  <c:v>0.010282146858125599</c:v>
                </c:pt>
                <c:pt idx="6">
                  <c:v>0.044412031328457155</c:v>
                </c:pt>
                <c:pt idx="7">
                  <c:v>0.11164702509885896</c:v>
                </c:pt>
                <c:pt idx="8">
                  <c:v>0.19688856273403138</c:v>
                </c:pt>
                <c:pt idx="9">
                  <c:v>0.25869057184536404</c:v>
                </c:pt>
                <c:pt idx="10">
                  <c:v>0.26779675834571537</c:v>
                </c:pt>
                <c:pt idx="11">
                  <c:v>0.2117348654754239</c:v>
                </c:pt>
              </c:numCache>
            </c:numRef>
          </c:yVal>
          <c:smooth val="1"/>
        </c:ser>
        <c:axId val="49344509"/>
        <c:axId val="41447398"/>
      </c:scatterChart>
      <c:valAx>
        <c:axId val="49344509"/>
        <c:scaling>
          <c:orientation val="minMax"/>
          <c:max val="9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Углы крена, градусы</a:t>
                </a:r>
              </a:p>
            </c:rich>
          </c:tx>
          <c:layout>
            <c:manualLayout>
              <c:xMode val="factor"/>
              <c:yMode val="factor"/>
              <c:x val="-0.001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30000">
                <a:latin typeface="Arial Cyr"/>
                <a:ea typeface="Arial Cyr"/>
                <a:cs typeface="Arial Cyr"/>
              </a:defRPr>
            </a:pPr>
          </a:p>
        </c:txPr>
        <c:crossAx val="41447398"/>
        <c:crosses val="autoZero"/>
        <c:crossBetween val="midCat"/>
        <c:dispUnits/>
        <c:majorUnit val="10"/>
        <c:minorUnit val="2"/>
      </c:valAx>
      <c:valAx>
        <c:axId val="414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Плечи остойчивости, lст и ld, м</a:t>
                </a:r>
              </a:p>
            </c:rich>
          </c:tx>
          <c:layout>
            <c:manualLayout>
              <c:xMode val="factor"/>
              <c:yMode val="factor"/>
              <c:x val="0.000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30000">
                <a:latin typeface="Arial Cyr"/>
                <a:ea typeface="Arial Cyr"/>
                <a:cs typeface="Arial Cyr"/>
              </a:defRPr>
            </a:pPr>
          </a:p>
        </c:txPr>
        <c:crossAx val="493445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152400</xdr:colOff>
      <xdr:row>5</xdr:row>
      <xdr:rowOff>28575</xdr:rowOff>
    </xdr:to>
    <xdr:sp>
      <xdr:nvSpPr>
        <xdr:cNvPr id="1" name="Line 5"/>
        <xdr:cNvSpPr>
          <a:spLocks/>
        </xdr:cNvSpPr>
      </xdr:nvSpPr>
      <xdr:spPr>
        <a:xfrm>
          <a:off x="2571750" y="914400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18</xdr:row>
      <xdr:rowOff>66675</xdr:rowOff>
    </xdr:from>
    <xdr:to>
      <xdr:col>3</xdr:col>
      <xdr:colOff>0</xdr:colOff>
      <xdr:row>18</xdr:row>
      <xdr:rowOff>66675</xdr:rowOff>
    </xdr:to>
    <xdr:sp>
      <xdr:nvSpPr>
        <xdr:cNvPr id="2" name="Line 6"/>
        <xdr:cNvSpPr>
          <a:spLocks/>
        </xdr:cNvSpPr>
      </xdr:nvSpPr>
      <xdr:spPr>
        <a:xfrm>
          <a:off x="323850" y="3324225"/>
          <a:ext cx="19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133350</xdr:rowOff>
    </xdr:from>
    <xdr:to>
      <xdr:col>22</xdr:col>
      <xdr:colOff>133350</xdr:colOff>
      <xdr:row>17</xdr:row>
      <xdr:rowOff>133350</xdr:rowOff>
    </xdr:to>
    <xdr:sp>
      <xdr:nvSpPr>
        <xdr:cNvPr id="3" name="Line 8"/>
        <xdr:cNvSpPr>
          <a:spLocks/>
        </xdr:cNvSpPr>
      </xdr:nvSpPr>
      <xdr:spPr>
        <a:xfrm>
          <a:off x="3771900" y="3190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0</xdr:rowOff>
    </xdr:from>
    <xdr:to>
      <xdr:col>14</xdr:col>
      <xdr:colOff>333375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95250" y="1133475"/>
        <a:ext cx="63246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14</xdr:col>
      <xdr:colOff>381000</xdr:colOff>
      <xdr:row>52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81725"/>
          <a:ext cx="64674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5.125" style="0" customWidth="1"/>
    <col min="2" max="2" width="31.375" style="0" customWidth="1"/>
    <col min="3" max="3" width="10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0" customWidth="1"/>
  </cols>
  <sheetData>
    <row r="1" spans="1:8" ht="12.75">
      <c r="A1" s="56" t="s">
        <v>96</v>
      </c>
      <c r="B1" s="56"/>
      <c r="C1" s="56"/>
      <c r="D1" s="56"/>
      <c r="E1" s="56"/>
      <c r="F1" s="56"/>
      <c r="G1" s="56"/>
      <c r="H1" s="56"/>
    </row>
    <row r="2" spans="1:8" ht="12.75">
      <c r="A2" s="55" t="s">
        <v>120</v>
      </c>
      <c r="B2" s="55"/>
      <c r="C2" s="55"/>
      <c r="D2" s="55"/>
      <c r="E2" s="55"/>
      <c r="F2" s="55"/>
      <c r="G2" s="55"/>
      <c r="H2" s="55"/>
    </row>
    <row r="3" spans="1:8" ht="12.75">
      <c r="A3" s="55" t="s">
        <v>118</v>
      </c>
      <c r="B3" s="55"/>
      <c r="C3" s="55"/>
      <c r="D3" s="55"/>
      <c r="E3" s="55"/>
      <c r="F3" s="55"/>
      <c r="G3" s="55"/>
      <c r="H3" s="55"/>
    </row>
    <row r="4" spans="1:8" ht="12.75">
      <c r="A4" s="57" t="s">
        <v>119</v>
      </c>
      <c r="B4" s="55"/>
      <c r="C4" s="55"/>
      <c r="D4" s="55"/>
      <c r="E4" s="55"/>
      <c r="F4" s="55"/>
      <c r="G4" s="55"/>
      <c r="H4" s="55"/>
    </row>
    <row r="6" spans="1:8" ht="83.25">
      <c r="A6" s="2" t="s">
        <v>42</v>
      </c>
      <c r="B6" s="22" t="s">
        <v>0</v>
      </c>
      <c r="C6" s="3" t="s">
        <v>31</v>
      </c>
      <c r="D6" s="2" t="s">
        <v>1</v>
      </c>
      <c r="E6" s="2" t="s">
        <v>27</v>
      </c>
      <c r="F6" s="2" t="s">
        <v>28</v>
      </c>
      <c r="G6" s="2" t="s">
        <v>29</v>
      </c>
      <c r="H6" s="2" t="s">
        <v>30</v>
      </c>
    </row>
    <row r="7" spans="1:8" ht="12.75">
      <c r="A7" s="37">
        <v>1</v>
      </c>
      <c r="B7" s="37" t="s">
        <v>2</v>
      </c>
      <c r="C7" s="38"/>
      <c r="D7" s="38">
        <v>1019.6</v>
      </c>
      <c r="E7" s="36">
        <v>3.91</v>
      </c>
      <c r="F7" s="38">
        <f>D7*E7</f>
        <v>3986.6360000000004</v>
      </c>
      <c r="G7" s="36">
        <v>-2.98</v>
      </c>
      <c r="H7" s="38">
        <f>D7*G7</f>
        <v>-3038.408</v>
      </c>
    </row>
    <row r="8" spans="1:8" ht="12.75">
      <c r="A8" s="37">
        <v>2</v>
      </c>
      <c r="B8" s="37" t="s">
        <v>3</v>
      </c>
      <c r="C8" s="38"/>
      <c r="D8" s="38">
        <v>1.3</v>
      </c>
      <c r="E8" s="36">
        <v>6.23</v>
      </c>
      <c r="F8" s="38">
        <f>D8*E8</f>
        <v>8.099</v>
      </c>
      <c r="G8" s="36">
        <v>4.95</v>
      </c>
      <c r="H8" s="38">
        <f>D8*G8</f>
        <v>6.4350000000000005</v>
      </c>
    </row>
    <row r="9" spans="1:8" ht="12.75">
      <c r="A9" s="37">
        <v>3</v>
      </c>
      <c r="B9" s="37" t="s">
        <v>4</v>
      </c>
      <c r="C9" s="38"/>
      <c r="D9" s="38">
        <v>1.58</v>
      </c>
      <c r="E9" s="36">
        <v>3.26</v>
      </c>
      <c r="F9" s="38">
        <f>D9*E9</f>
        <v>5.1508</v>
      </c>
      <c r="G9" s="36">
        <v>-2.83</v>
      </c>
      <c r="H9" s="38">
        <f>D9*G9</f>
        <v>-4.4714</v>
      </c>
    </row>
    <row r="10" spans="1:8" ht="12.75">
      <c r="A10" s="37">
        <v>4</v>
      </c>
      <c r="B10" s="37" t="s">
        <v>6</v>
      </c>
      <c r="C10" s="40">
        <f>SUM(C11:C16)</f>
        <v>208.4</v>
      </c>
      <c r="D10" s="40">
        <f>SUM(D11:D16)</f>
        <v>20.95</v>
      </c>
      <c r="E10" s="46">
        <f>F10/D10</f>
        <v>2.733727923627685</v>
      </c>
      <c r="F10" s="40">
        <f>SUM(F11:F16)</f>
        <v>57.2716</v>
      </c>
      <c r="G10" s="46">
        <f>H10/D10</f>
        <v>-23.43159904534606</v>
      </c>
      <c r="H10" s="40">
        <f>SUM(H11:H16)</f>
        <v>-490.89199999999994</v>
      </c>
    </row>
    <row r="11" spans="1:8" ht="25.5">
      <c r="A11" s="4"/>
      <c r="B11" s="5" t="s">
        <v>5</v>
      </c>
      <c r="C11" s="6">
        <v>0.1</v>
      </c>
      <c r="D11" s="6">
        <v>2.35</v>
      </c>
      <c r="E11" s="7">
        <v>5</v>
      </c>
      <c r="F11" s="6">
        <f aca="true" t="shared" si="0" ref="F11:F16">D11*E11</f>
        <v>11.75</v>
      </c>
      <c r="G11" s="7">
        <v>-28.32</v>
      </c>
      <c r="H11" s="6">
        <f aca="true" t="shared" si="1" ref="H11:H16">D11*G11</f>
        <v>-66.552</v>
      </c>
    </row>
    <row r="12" spans="1:8" ht="25.5">
      <c r="A12" s="4"/>
      <c r="B12" s="5" t="s">
        <v>8</v>
      </c>
      <c r="C12" s="6">
        <v>4.1</v>
      </c>
      <c r="D12" s="6">
        <v>0</v>
      </c>
      <c r="E12" s="7">
        <v>3.11</v>
      </c>
      <c r="F12" s="6">
        <f t="shared" si="0"/>
        <v>0</v>
      </c>
      <c r="G12" s="7">
        <v>-37</v>
      </c>
      <c r="H12" s="6">
        <f t="shared" si="1"/>
        <v>0</v>
      </c>
    </row>
    <row r="13" spans="1:8" ht="25.5">
      <c r="A13" s="4"/>
      <c r="B13" s="5" t="s">
        <v>7</v>
      </c>
      <c r="C13" s="6">
        <v>4.1</v>
      </c>
      <c r="D13" s="6">
        <v>0</v>
      </c>
      <c r="E13" s="7">
        <v>3.11</v>
      </c>
      <c r="F13" s="6">
        <f t="shared" si="0"/>
        <v>0</v>
      </c>
      <c r="G13" s="7">
        <v>-37</v>
      </c>
      <c r="H13" s="6">
        <f t="shared" si="1"/>
        <v>0</v>
      </c>
    </row>
    <row r="14" spans="1:8" ht="25.5" customHeight="1">
      <c r="A14" s="4"/>
      <c r="B14" s="23" t="s">
        <v>9</v>
      </c>
      <c r="C14" s="6">
        <v>199.6</v>
      </c>
      <c r="D14" s="6">
        <v>11.2</v>
      </c>
      <c r="E14" s="7">
        <v>0.74</v>
      </c>
      <c r="F14" s="6">
        <f t="shared" si="0"/>
        <v>8.288</v>
      </c>
      <c r="G14" s="7">
        <v>-22.81</v>
      </c>
      <c r="H14" s="6">
        <f t="shared" si="1"/>
        <v>-255.47199999999998</v>
      </c>
    </row>
    <row r="15" spans="1:8" ht="25.5">
      <c r="A15" s="4"/>
      <c r="B15" s="5" t="s">
        <v>10</v>
      </c>
      <c r="C15" s="6">
        <v>0.1</v>
      </c>
      <c r="D15" s="6">
        <v>3.18</v>
      </c>
      <c r="E15" s="7">
        <v>5.1</v>
      </c>
      <c r="F15" s="6">
        <f t="shared" si="0"/>
        <v>16.218</v>
      </c>
      <c r="G15" s="7">
        <v>-22.82</v>
      </c>
      <c r="H15" s="6">
        <f t="shared" si="1"/>
        <v>-72.5676</v>
      </c>
    </row>
    <row r="16" spans="1:8" ht="25.5">
      <c r="A16" s="4"/>
      <c r="B16" s="5" t="s">
        <v>11</v>
      </c>
      <c r="C16" s="6">
        <v>0.4</v>
      </c>
      <c r="D16" s="6">
        <v>4.22</v>
      </c>
      <c r="E16" s="7">
        <v>4.98</v>
      </c>
      <c r="F16" s="6">
        <f t="shared" si="0"/>
        <v>21.0156</v>
      </c>
      <c r="G16" s="7">
        <v>-22.82</v>
      </c>
      <c r="H16" s="6">
        <f t="shared" si="1"/>
        <v>-96.3004</v>
      </c>
    </row>
    <row r="17" spans="1:8" ht="12.75">
      <c r="A17" s="37">
        <v>5</v>
      </c>
      <c r="B17" s="37" t="s">
        <v>12</v>
      </c>
      <c r="C17" s="38">
        <v>0.1</v>
      </c>
      <c r="D17" s="38">
        <v>1.2</v>
      </c>
      <c r="E17" s="36">
        <v>2.7</v>
      </c>
      <c r="F17" s="38">
        <f>D17*E17</f>
        <v>3.24</v>
      </c>
      <c r="G17" s="36">
        <v>-29</v>
      </c>
      <c r="H17" s="38">
        <f>D17*G17</f>
        <v>-34.8</v>
      </c>
    </row>
    <row r="18" spans="1:8" ht="12.75">
      <c r="A18" s="37">
        <v>6</v>
      </c>
      <c r="B18" s="37" t="s">
        <v>13</v>
      </c>
      <c r="C18" s="38">
        <f>SUM(C19:C21)</f>
        <v>37.9</v>
      </c>
      <c r="D18" s="38">
        <f>SUM(D19:D21)</f>
        <v>16.4</v>
      </c>
      <c r="E18" s="36">
        <f>F18/D18</f>
        <v>0.99109756097561</v>
      </c>
      <c r="F18" s="38">
        <f>SUM(F19:F21)</f>
        <v>16.254</v>
      </c>
      <c r="G18" s="36">
        <f>H18/D18</f>
        <v>2.0581707317073175</v>
      </c>
      <c r="H18" s="38">
        <f>SUM(H19:H21)</f>
        <v>33.754000000000005</v>
      </c>
    </row>
    <row r="19" spans="1:8" ht="25.5">
      <c r="A19" s="4"/>
      <c r="B19" s="5" t="s">
        <v>14</v>
      </c>
      <c r="C19" s="6">
        <v>0.9</v>
      </c>
      <c r="D19" s="6">
        <v>3.1</v>
      </c>
      <c r="E19" s="7">
        <v>2.16</v>
      </c>
      <c r="F19" s="6">
        <f aca="true" t="shared" si="2" ref="F19:F25">D19*E19</f>
        <v>6.696000000000001</v>
      </c>
      <c r="G19" s="7">
        <v>5.15</v>
      </c>
      <c r="H19" s="6">
        <f aca="true" t="shared" si="3" ref="H19:H25">D19*G19</f>
        <v>15.965000000000002</v>
      </c>
    </row>
    <row r="20" spans="1:8" ht="25.5">
      <c r="A20" s="4"/>
      <c r="B20" s="5" t="s">
        <v>15</v>
      </c>
      <c r="C20" s="6">
        <v>36.7</v>
      </c>
      <c r="D20" s="6">
        <v>10.8</v>
      </c>
      <c r="E20" s="7">
        <v>0.26</v>
      </c>
      <c r="F20" s="6">
        <f t="shared" si="2"/>
        <v>2.8080000000000003</v>
      </c>
      <c r="G20" s="7">
        <v>8.83</v>
      </c>
      <c r="H20" s="6">
        <f t="shared" si="3"/>
        <v>95.364</v>
      </c>
    </row>
    <row r="21" spans="1:8" ht="14.25" customHeight="1">
      <c r="A21" s="8"/>
      <c r="B21" s="9" t="s">
        <v>16</v>
      </c>
      <c r="C21" s="6">
        <v>0.3</v>
      </c>
      <c r="D21" s="6">
        <v>2.5</v>
      </c>
      <c r="E21" s="7">
        <v>2.7</v>
      </c>
      <c r="F21" s="6">
        <f t="shared" si="2"/>
        <v>6.75</v>
      </c>
      <c r="G21" s="7">
        <v>-31.03</v>
      </c>
      <c r="H21" s="6">
        <f t="shared" si="3"/>
        <v>-77.575</v>
      </c>
    </row>
    <row r="22" spans="1:8" ht="12.75">
      <c r="A22" s="37">
        <v>7</v>
      </c>
      <c r="B22" s="39" t="s">
        <v>41</v>
      </c>
      <c r="C22" s="40">
        <f>SUM(C23:C25)</f>
        <v>5.1</v>
      </c>
      <c r="D22" s="40">
        <f>SUM(D23:D25)</f>
        <v>1</v>
      </c>
      <c r="E22" s="36">
        <f>F22/D22</f>
        <v>2.03</v>
      </c>
      <c r="F22" s="40">
        <f>SUM(F23:F25)</f>
        <v>2.03</v>
      </c>
      <c r="G22" s="36">
        <v>0</v>
      </c>
      <c r="H22" s="40">
        <f>SUM(H23:H25)</f>
        <v>8.08</v>
      </c>
    </row>
    <row r="23" spans="1:8" ht="25.5">
      <c r="A23" s="4"/>
      <c r="B23" s="5" t="s">
        <v>17</v>
      </c>
      <c r="C23" s="6">
        <v>2.4</v>
      </c>
      <c r="D23" s="6">
        <v>0</v>
      </c>
      <c r="E23" s="7">
        <v>3.09</v>
      </c>
      <c r="F23" s="6">
        <f t="shared" si="2"/>
        <v>0</v>
      </c>
      <c r="G23" s="7">
        <v>-34.27</v>
      </c>
      <c r="H23" s="6">
        <f t="shared" si="3"/>
        <v>0</v>
      </c>
    </row>
    <row r="24" spans="1:8" ht="25.5">
      <c r="A24" s="4"/>
      <c r="B24" s="5" t="s">
        <v>18</v>
      </c>
      <c r="C24" s="10">
        <v>0.9</v>
      </c>
      <c r="D24" s="6">
        <v>0</v>
      </c>
      <c r="E24" s="7">
        <v>0.44</v>
      </c>
      <c r="F24" s="6">
        <f t="shared" si="2"/>
        <v>0</v>
      </c>
      <c r="G24" s="7">
        <v>2.48</v>
      </c>
      <c r="H24" s="6">
        <f t="shared" si="3"/>
        <v>0</v>
      </c>
    </row>
    <row r="25" spans="1:8" ht="25.5">
      <c r="A25" s="4"/>
      <c r="B25" s="5" t="s">
        <v>19</v>
      </c>
      <c r="C25" s="6">
        <v>1.8</v>
      </c>
      <c r="D25" s="6">
        <v>1</v>
      </c>
      <c r="E25" s="7">
        <v>2.03</v>
      </c>
      <c r="F25" s="6">
        <f t="shared" si="2"/>
        <v>2.03</v>
      </c>
      <c r="G25" s="7">
        <v>8.08</v>
      </c>
      <c r="H25" s="6">
        <f t="shared" si="3"/>
        <v>8.08</v>
      </c>
    </row>
    <row r="26" spans="1:8" ht="12.75">
      <c r="A26" s="37">
        <v>8</v>
      </c>
      <c r="B26" s="37" t="s">
        <v>20</v>
      </c>
      <c r="C26" s="38">
        <f>SUM(C27,C28,C29,C30,C31,C32,C33)</f>
        <v>6.8</v>
      </c>
      <c r="D26" s="38">
        <f>SUM(D27:D33)</f>
        <v>239</v>
      </c>
      <c r="E26" s="36">
        <f>F26/D26</f>
        <v>0.43776987447698745</v>
      </c>
      <c r="F26" s="38">
        <f>SUM(F27:F33)</f>
        <v>104.627</v>
      </c>
      <c r="G26" s="36">
        <f>H26/D26</f>
        <v>-9.652225941422593</v>
      </c>
      <c r="H26" s="38">
        <f>SUM(H27:H33)</f>
        <v>-2306.8819999999996</v>
      </c>
    </row>
    <row r="27" spans="1:8" ht="25.5">
      <c r="A27" s="4"/>
      <c r="B27" s="5" t="s">
        <v>33</v>
      </c>
      <c r="C27" s="6">
        <v>0</v>
      </c>
      <c r="D27" s="6">
        <v>0</v>
      </c>
      <c r="E27" s="7">
        <v>0</v>
      </c>
      <c r="F27" s="6">
        <f aca="true" t="shared" si="4" ref="F27:F34">D27*E27</f>
        <v>0</v>
      </c>
      <c r="G27" s="7">
        <v>0</v>
      </c>
      <c r="H27" s="6">
        <f aca="true" t="shared" si="5" ref="H27:H34">D27*G27</f>
        <v>0</v>
      </c>
    </row>
    <row r="28" spans="1:8" ht="25.5">
      <c r="A28" s="4"/>
      <c r="B28" s="5" t="s">
        <v>34</v>
      </c>
      <c r="C28" s="6">
        <v>0</v>
      </c>
      <c r="D28" s="6">
        <v>1</v>
      </c>
      <c r="E28" s="7">
        <v>0.01</v>
      </c>
      <c r="F28" s="6">
        <f t="shared" si="4"/>
        <v>0.01</v>
      </c>
      <c r="G28" s="7">
        <v>21.24</v>
      </c>
      <c r="H28" s="6">
        <f t="shared" si="5"/>
        <v>21.24</v>
      </c>
    </row>
    <row r="29" spans="1:8" ht="25.5">
      <c r="A29" s="4"/>
      <c r="B29" s="5" t="s">
        <v>35</v>
      </c>
      <c r="C29" s="6">
        <v>0</v>
      </c>
      <c r="D29" s="6">
        <v>3</v>
      </c>
      <c r="E29" s="7">
        <v>0.01</v>
      </c>
      <c r="F29" s="6">
        <f t="shared" si="4"/>
        <v>0.03</v>
      </c>
      <c r="G29" s="7">
        <v>21.24</v>
      </c>
      <c r="H29" s="6">
        <f t="shared" si="5"/>
        <v>63.72</v>
      </c>
    </row>
    <row r="30" spans="1:8" ht="25.5">
      <c r="A30" s="4"/>
      <c r="B30" s="5" t="s">
        <v>36</v>
      </c>
      <c r="C30" s="6"/>
      <c r="D30" s="6">
        <v>9.7</v>
      </c>
      <c r="E30" s="7">
        <v>0.25</v>
      </c>
      <c r="F30" s="6">
        <f t="shared" si="4"/>
        <v>2.425</v>
      </c>
      <c r="G30" s="7">
        <v>4.84</v>
      </c>
      <c r="H30" s="6">
        <f t="shared" si="5"/>
        <v>46.94799999999999</v>
      </c>
    </row>
    <row r="31" spans="1:8" ht="25.5">
      <c r="A31" s="4"/>
      <c r="B31" s="5" t="s">
        <v>37</v>
      </c>
      <c r="C31" s="6"/>
      <c r="D31" s="6">
        <v>4.8</v>
      </c>
      <c r="E31" s="7">
        <v>0.04</v>
      </c>
      <c r="F31" s="6">
        <f t="shared" si="4"/>
        <v>0.192</v>
      </c>
      <c r="G31" s="7">
        <v>5.5</v>
      </c>
      <c r="H31" s="6">
        <f t="shared" si="5"/>
        <v>26.4</v>
      </c>
    </row>
    <row r="32" spans="1:8" ht="25.5">
      <c r="A32" s="4"/>
      <c r="B32" s="5" t="s">
        <v>38</v>
      </c>
      <c r="C32" s="6">
        <v>3.4</v>
      </c>
      <c r="D32" s="6">
        <v>103.5</v>
      </c>
      <c r="E32" s="7">
        <v>0.42</v>
      </c>
      <c r="F32" s="6">
        <f t="shared" si="4"/>
        <v>43.47</v>
      </c>
      <c r="G32" s="7">
        <v>-11.18</v>
      </c>
      <c r="H32" s="6">
        <f t="shared" si="5"/>
        <v>-1157.1299999999999</v>
      </c>
    </row>
    <row r="33" spans="1:8" ht="25.5">
      <c r="A33" s="4"/>
      <c r="B33" s="5" t="s">
        <v>39</v>
      </c>
      <c r="C33" s="6">
        <v>3.4</v>
      </c>
      <c r="D33" s="6">
        <v>117</v>
      </c>
      <c r="E33" s="7">
        <v>0.5</v>
      </c>
      <c r="F33" s="6">
        <f t="shared" si="4"/>
        <v>58.5</v>
      </c>
      <c r="G33" s="7">
        <v>-11.18</v>
      </c>
      <c r="H33" s="6">
        <f t="shared" si="5"/>
        <v>-1308.06</v>
      </c>
    </row>
    <row r="34" spans="1:8" ht="12.75">
      <c r="A34" s="37">
        <v>9</v>
      </c>
      <c r="B34" s="41" t="s">
        <v>32</v>
      </c>
      <c r="C34" s="38"/>
      <c r="D34" s="38">
        <v>0</v>
      </c>
      <c r="E34" s="36">
        <v>2</v>
      </c>
      <c r="F34" s="38">
        <f t="shared" si="4"/>
        <v>0</v>
      </c>
      <c r="G34" s="36">
        <v>0.5</v>
      </c>
      <c r="H34" s="38">
        <f t="shared" si="5"/>
        <v>0</v>
      </c>
    </row>
    <row r="35" spans="1:8" ht="12.75">
      <c r="A35" s="37">
        <v>10</v>
      </c>
      <c r="B35" s="42" t="s">
        <v>21</v>
      </c>
      <c r="C35" s="38"/>
      <c r="D35" s="38">
        <f>SUM(D36:D39)</f>
        <v>1326</v>
      </c>
      <c r="E35" s="36">
        <f>F35/D35</f>
        <v>5.468815987933635</v>
      </c>
      <c r="F35" s="38">
        <f>SUM(F36:F39)</f>
        <v>7251.65</v>
      </c>
      <c r="G35" s="36">
        <f>H35/D35</f>
        <v>1.3299321266968325</v>
      </c>
      <c r="H35" s="38">
        <f>SUM(H36:H39)</f>
        <v>1763.4899999999998</v>
      </c>
    </row>
    <row r="36" spans="1:8" ht="12.75">
      <c r="A36" s="4"/>
      <c r="B36" s="11" t="s">
        <v>23</v>
      </c>
      <c r="C36" s="6"/>
      <c r="D36" s="6">
        <v>403</v>
      </c>
      <c r="E36" s="7">
        <v>3.4</v>
      </c>
      <c r="F36" s="6">
        <f>D36*E36</f>
        <v>1370.2</v>
      </c>
      <c r="G36" s="7">
        <v>21.33</v>
      </c>
      <c r="H36" s="6">
        <f>D36*G36</f>
        <v>8595.99</v>
      </c>
    </row>
    <row r="37" spans="1:8" ht="12.75">
      <c r="A37" s="4"/>
      <c r="B37" s="11" t="s">
        <v>22</v>
      </c>
      <c r="C37" s="6"/>
      <c r="D37" s="6">
        <v>350</v>
      </c>
      <c r="E37" s="7">
        <v>3.4</v>
      </c>
      <c r="F37" s="6">
        <f>D37*E37</f>
        <v>1190</v>
      </c>
      <c r="G37" s="7">
        <v>-11.04</v>
      </c>
      <c r="H37" s="6">
        <f>D37*G37</f>
        <v>-3863.9999999999995</v>
      </c>
    </row>
    <row r="38" spans="1:8" ht="25.5">
      <c r="A38" s="49"/>
      <c r="B38" s="5" t="s">
        <v>115</v>
      </c>
      <c r="C38" s="50"/>
      <c r="D38" s="50">
        <v>266</v>
      </c>
      <c r="E38" s="51">
        <v>8</v>
      </c>
      <c r="F38" s="50">
        <f>D38*E38</f>
        <v>2128</v>
      </c>
      <c r="G38" s="51">
        <v>12.5</v>
      </c>
      <c r="H38" s="50">
        <f>D38*G38</f>
        <v>3325</v>
      </c>
    </row>
    <row r="39" spans="1:8" ht="26.25" thickBot="1">
      <c r="A39" s="15"/>
      <c r="B39" s="52" t="s">
        <v>117</v>
      </c>
      <c r="C39" s="20"/>
      <c r="D39" s="20">
        <v>307</v>
      </c>
      <c r="E39" s="21">
        <v>8.35</v>
      </c>
      <c r="F39" s="20">
        <f>D39*E39</f>
        <v>2563.45</v>
      </c>
      <c r="G39" s="21">
        <v>-20.5</v>
      </c>
      <c r="H39" s="20">
        <f>D39*G39</f>
        <v>-6293.5</v>
      </c>
    </row>
    <row r="40" spans="1:8" ht="14.25" thickBot="1" thickTop="1">
      <c r="A40" s="16"/>
      <c r="B40" s="17" t="s">
        <v>40</v>
      </c>
      <c r="C40" s="18"/>
      <c r="D40" s="18">
        <f>SUM(D7,D8,D9,D10,D17,D18,D22,D26,D34,D35)</f>
        <v>2627.03</v>
      </c>
      <c r="E40" s="19">
        <f>F40/D40</f>
        <v>4.352808456698248</v>
      </c>
      <c r="F40" s="18">
        <f>SUM(F7,F8,F9,F10,F17,F18,F22,F26,F34,F35)</f>
        <v>11434.9584</v>
      </c>
      <c r="G40" s="19">
        <f>H40/D40</f>
        <v>-1.5468778049736776</v>
      </c>
      <c r="H40" s="18">
        <f>SUM(H7,H8,H9,H10,H17,H18,H22,H26,H34,H35)</f>
        <v>-4063.6944000000003</v>
      </c>
    </row>
    <row r="41" spans="1:8" ht="13.5" thickTop="1">
      <c r="A41" s="43">
        <v>11</v>
      </c>
      <c r="B41" s="43" t="s">
        <v>94</v>
      </c>
      <c r="C41" s="44"/>
      <c r="D41" s="44">
        <f>(D39+D38)*0.1</f>
        <v>57.300000000000004</v>
      </c>
      <c r="E41" s="45">
        <f>E39</f>
        <v>8.35</v>
      </c>
      <c r="F41" s="44">
        <f>D41*E41</f>
        <v>478.45500000000004</v>
      </c>
      <c r="G41" s="45">
        <v>1.73</v>
      </c>
      <c r="H41" s="44">
        <f>D41*G41</f>
        <v>99.129</v>
      </c>
    </row>
    <row r="42" spans="1:8" ht="12.75">
      <c r="A42" s="4"/>
      <c r="B42" s="12" t="s">
        <v>43</v>
      </c>
      <c r="C42" s="13">
        <f>SUM(C10,C17,C18,C22,C26)</f>
        <v>258.3</v>
      </c>
      <c r="D42" s="13">
        <f>SUM(D40:D41)</f>
        <v>2684.3300000000004</v>
      </c>
      <c r="E42" s="14">
        <f>Total_Mz/Displacement</f>
        <v>4.534358070729008</v>
      </c>
      <c r="F42" s="13">
        <f>SUM(F40:F41,C42)</f>
        <v>12171.713399999999</v>
      </c>
      <c r="G42" s="14">
        <f>Total_Mx/Displacement</f>
        <v>-1.4769292151114057</v>
      </c>
      <c r="H42" s="13">
        <f>SUM(H40:H41)</f>
        <v>-3964.5654000000004</v>
      </c>
    </row>
    <row r="44" spans="1:8" ht="12.75">
      <c r="A44" s="55" t="s">
        <v>97</v>
      </c>
      <c r="B44" s="55"/>
      <c r="C44" s="55"/>
      <c r="D44" s="55"/>
      <c r="E44" s="55"/>
      <c r="F44" s="55"/>
      <c r="G44" s="55"/>
      <c r="H44" s="55"/>
    </row>
    <row r="46" spans="1:8" ht="12.75">
      <c r="A46" s="55" t="s">
        <v>114</v>
      </c>
      <c r="B46" s="55"/>
      <c r="C46" s="55"/>
      <c r="D46" s="55"/>
      <c r="E46" s="55"/>
      <c r="F46" s="55"/>
      <c r="G46" s="55"/>
      <c r="H46" s="55"/>
    </row>
  </sheetData>
  <mergeCells count="6">
    <mergeCell ref="A44:H44"/>
    <mergeCell ref="A46:H46"/>
    <mergeCell ref="A1:H1"/>
    <mergeCell ref="A2:H2"/>
    <mergeCell ref="A3:H3"/>
    <mergeCell ref="A4:H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32"/>
  <sheetViews>
    <sheetView workbookViewId="0" topLeftCell="A15">
      <selection activeCell="K32" sqref="K32:M32"/>
    </sheetView>
  </sheetViews>
  <sheetFormatPr defaultColWidth="9.00390625" defaultRowHeight="12.75"/>
  <cols>
    <col min="1" max="45" width="2.25390625" style="0" customWidth="1"/>
  </cols>
  <sheetData>
    <row r="2" spans="1:35" ht="15.75">
      <c r="A2" s="55" t="s">
        <v>44</v>
      </c>
      <c r="B2" s="55"/>
      <c r="C2" t="s">
        <v>45</v>
      </c>
      <c r="D2" s="63">
        <v>5.18</v>
      </c>
      <c r="E2" s="64"/>
      <c r="F2" s="71"/>
      <c r="H2" s="55" t="s">
        <v>49</v>
      </c>
      <c r="I2" s="55"/>
      <c r="J2" t="s">
        <v>45</v>
      </c>
      <c r="K2" s="63">
        <f>Zg0_KG</f>
        <v>4.352808456698248</v>
      </c>
      <c r="L2" s="64"/>
      <c r="M2" s="71"/>
      <c r="O2" s="55" t="s">
        <v>46</v>
      </c>
      <c r="P2" s="55"/>
      <c r="Q2" s="55"/>
      <c r="R2" s="55"/>
      <c r="S2" s="55"/>
      <c r="T2" t="s">
        <v>45</v>
      </c>
      <c r="U2" s="63">
        <f>D2-K2</f>
        <v>0.827191543301752</v>
      </c>
      <c r="V2" s="65"/>
      <c r="W2" s="72"/>
      <c r="Y2" t="s">
        <v>47</v>
      </c>
      <c r="Z2" t="s">
        <v>45</v>
      </c>
      <c r="AA2" s="63">
        <v>11.6</v>
      </c>
      <c r="AB2" s="64"/>
      <c r="AC2" s="71"/>
      <c r="AE2" t="s">
        <v>48</v>
      </c>
      <c r="AF2" t="s">
        <v>45</v>
      </c>
      <c r="AG2" s="63">
        <v>82</v>
      </c>
      <c r="AH2" s="64"/>
      <c r="AI2" s="71"/>
    </row>
    <row r="4" spans="1:38" ht="15.75">
      <c r="A4" s="55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8">
        <v>16</v>
      </c>
      <c r="Q4" s="69"/>
      <c r="R4" s="70"/>
      <c r="U4" t="s">
        <v>51</v>
      </c>
      <c r="V4" t="s">
        <v>45</v>
      </c>
      <c r="W4" s="63">
        <v>3.36</v>
      </c>
      <c r="X4" s="64"/>
      <c r="Y4" s="71"/>
      <c r="AA4" s="55" t="s">
        <v>52</v>
      </c>
      <c r="AB4" s="55"/>
      <c r="AC4" t="s">
        <v>45</v>
      </c>
      <c r="AD4" s="58">
        <f>AA2/W4</f>
        <v>3.4523809523809526</v>
      </c>
      <c r="AE4" s="58"/>
      <c r="AF4" s="58"/>
      <c r="AH4" t="s">
        <v>53</v>
      </c>
      <c r="AI4" t="s">
        <v>45</v>
      </c>
      <c r="AJ4" s="63">
        <v>0.81</v>
      </c>
      <c r="AK4" s="64"/>
      <c r="AL4" s="71"/>
    </row>
    <row r="6" spans="1:27" ht="15.75">
      <c r="A6" s="55" t="s">
        <v>54</v>
      </c>
      <c r="B6" s="55"/>
      <c r="C6" t="s">
        <v>45</v>
      </c>
      <c r="D6" s="55">
        <v>0.834</v>
      </c>
      <c r="E6" s="55"/>
      <c r="F6" s="55"/>
      <c r="H6" t="s">
        <v>55</v>
      </c>
      <c r="I6" t="s">
        <v>45</v>
      </c>
      <c r="J6" s="63">
        <v>1</v>
      </c>
      <c r="K6" s="64"/>
      <c r="L6" s="71"/>
      <c r="O6" s="60" t="s">
        <v>56</v>
      </c>
      <c r="P6" s="55"/>
      <c r="Q6" s="55"/>
      <c r="R6" t="s">
        <v>45</v>
      </c>
      <c r="S6" s="75">
        <f>U2/AA2</f>
        <v>0.07130961580187518</v>
      </c>
      <c r="T6" s="75"/>
      <c r="U6" s="75"/>
      <c r="W6" t="s">
        <v>57</v>
      </c>
      <c r="X6" t="s">
        <v>45</v>
      </c>
      <c r="Y6" s="63">
        <v>23.06</v>
      </c>
      <c r="Z6" s="64"/>
      <c r="AA6" s="71"/>
    </row>
    <row r="8" spans="1:41" ht="15.75">
      <c r="A8" s="60" t="s">
        <v>58</v>
      </c>
      <c r="B8" s="55"/>
      <c r="C8" t="s">
        <v>45</v>
      </c>
      <c r="D8" s="55" t="s">
        <v>59</v>
      </c>
      <c r="E8" s="55"/>
      <c r="F8" s="55"/>
      <c r="G8" t="s">
        <v>45</v>
      </c>
      <c r="H8" s="66">
        <f>PRODUCT(AJ4,J6,Y6)</f>
        <v>18.6786</v>
      </c>
      <c r="I8" s="66"/>
      <c r="J8" s="24" t="s">
        <v>60</v>
      </c>
      <c r="L8" s="55" t="s">
        <v>61</v>
      </c>
      <c r="M8" s="55"/>
      <c r="N8" s="55"/>
      <c r="O8" t="s">
        <v>45</v>
      </c>
      <c r="P8" s="76">
        <f>P4/(AA2*AG2)</f>
        <v>0.01682085786375105</v>
      </c>
      <c r="Q8" s="76"/>
      <c r="R8" s="76"/>
      <c r="T8" t="s">
        <v>62</v>
      </c>
      <c r="U8" t="s">
        <v>45</v>
      </c>
      <c r="V8" s="77">
        <v>0.93</v>
      </c>
      <c r="W8" s="65"/>
      <c r="X8" s="72"/>
      <c r="Z8" s="60" t="s">
        <v>63</v>
      </c>
      <c r="AA8" s="55"/>
      <c r="AB8" t="s">
        <v>45</v>
      </c>
      <c r="AC8" s="67" t="s">
        <v>64</v>
      </c>
      <c r="AD8" s="55"/>
      <c r="AE8" t="s">
        <v>45</v>
      </c>
      <c r="AF8" s="68">
        <f>H8*V8</f>
        <v>17.371098</v>
      </c>
      <c r="AG8" s="69"/>
      <c r="AH8" s="47" t="s">
        <v>60</v>
      </c>
      <c r="AJ8" s="60" t="s">
        <v>95</v>
      </c>
      <c r="AK8" s="55"/>
      <c r="AL8" t="s">
        <v>45</v>
      </c>
      <c r="AM8" s="66">
        <v>31.96</v>
      </c>
      <c r="AN8" s="66"/>
      <c r="AO8" s="24" t="s">
        <v>60</v>
      </c>
    </row>
    <row r="10" spans="1:40" ht="15.75">
      <c r="A10" s="55" t="s">
        <v>65</v>
      </c>
      <c r="B10" s="55"/>
      <c r="C10" t="s">
        <v>45</v>
      </c>
      <c r="D10" s="68">
        <v>518.5</v>
      </c>
      <c r="E10" s="69"/>
      <c r="F10" s="70"/>
      <c r="H10" t="s">
        <v>66</v>
      </c>
      <c r="I10" t="s">
        <v>45</v>
      </c>
      <c r="J10" s="63">
        <v>3.28</v>
      </c>
      <c r="K10" s="64"/>
      <c r="L10" s="71"/>
      <c r="N10" t="s">
        <v>67</v>
      </c>
      <c r="O10" t="s">
        <v>45</v>
      </c>
      <c r="P10" s="55">
        <f>PRODUCT(0.275,992.84)</f>
        <v>273.031</v>
      </c>
      <c r="Q10" s="55"/>
      <c r="R10" s="55"/>
      <c r="T10" s="55" t="s">
        <v>71</v>
      </c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25" t="s">
        <v>45</v>
      </c>
      <c r="AK10" s="73">
        <v>0.12</v>
      </c>
      <c r="AL10" s="74"/>
      <c r="AM10" s="74"/>
      <c r="AN10" s="48" t="s">
        <v>100</v>
      </c>
    </row>
    <row r="12" spans="1:26" ht="15.75">
      <c r="A12" s="55" t="s">
        <v>68</v>
      </c>
      <c r="B12" s="55"/>
      <c r="C12" t="s">
        <v>45</v>
      </c>
      <c r="D12" s="55" t="s">
        <v>69</v>
      </c>
      <c r="E12" s="55"/>
      <c r="F12" s="55"/>
      <c r="G12" s="55"/>
      <c r="H12" s="55"/>
      <c r="I12" t="s">
        <v>45</v>
      </c>
      <c r="J12" s="66">
        <f>(PRODUCT(0.001,D10,J10,P10))/9.81</f>
        <v>47.333166267074404</v>
      </c>
      <c r="K12" s="66"/>
      <c r="L12" s="66"/>
      <c r="M12" t="s">
        <v>70</v>
      </c>
      <c r="Q12" s="55" t="s">
        <v>72</v>
      </c>
      <c r="R12" s="55"/>
      <c r="S12" t="s">
        <v>45</v>
      </c>
      <c r="T12" s="55" t="s">
        <v>73</v>
      </c>
      <c r="U12" s="55"/>
      <c r="V12" t="s">
        <v>45</v>
      </c>
      <c r="W12" s="66">
        <f>PRODUCT(Displacement,AK10)</f>
        <v>322.11960000000005</v>
      </c>
      <c r="X12" s="66"/>
      <c r="Y12" s="66"/>
      <c r="Z12" t="s">
        <v>70</v>
      </c>
    </row>
    <row r="14" spans="1:13" ht="15.75">
      <c r="A14" s="55" t="s">
        <v>74</v>
      </c>
      <c r="B14" s="55"/>
      <c r="C14" t="s">
        <v>45</v>
      </c>
      <c r="D14" s="55" t="s">
        <v>75</v>
      </c>
      <c r="E14" s="55"/>
      <c r="F14" s="55"/>
      <c r="G14" t="s">
        <v>45</v>
      </c>
      <c r="H14" s="68">
        <f>W12/J12</f>
        <v>6.8053676819856195</v>
      </c>
      <c r="I14" s="69"/>
      <c r="J14" s="70"/>
      <c r="K14" s="26" t="s">
        <v>76</v>
      </c>
      <c r="L14" s="66">
        <v>1</v>
      </c>
      <c r="M14" s="66"/>
    </row>
    <row r="16" spans="1:21" ht="15.75">
      <c r="A16" s="60" t="s">
        <v>77</v>
      </c>
      <c r="B16" s="55"/>
      <c r="C16" t="s">
        <v>45</v>
      </c>
      <c r="D16" s="75">
        <v>1</v>
      </c>
      <c r="E16" s="75"/>
      <c r="F16" s="75"/>
      <c r="G16" s="55" t="s">
        <v>78</v>
      </c>
      <c r="H16" s="55"/>
      <c r="J16" s="78" t="s">
        <v>79</v>
      </c>
      <c r="K16" s="55"/>
      <c r="L16" t="s">
        <v>45</v>
      </c>
      <c r="M16" s="60" t="s">
        <v>80</v>
      </c>
      <c r="N16" s="55"/>
      <c r="O16" t="s">
        <v>45</v>
      </c>
      <c r="P16" s="66">
        <f>Лист1!D40/D16</f>
        <v>2627.03</v>
      </c>
      <c r="Q16" s="66"/>
      <c r="R16" s="66"/>
      <c r="S16" s="66"/>
      <c r="T16" s="55" t="s">
        <v>81</v>
      </c>
      <c r="U16" s="55"/>
    </row>
    <row r="18" spans="2:27" ht="15.75">
      <c r="B18" s="81" t="s">
        <v>82</v>
      </c>
      <c r="C18" s="81"/>
      <c r="D18" s="81" t="s">
        <v>47</v>
      </c>
      <c r="E18" s="81"/>
      <c r="F18" s="79" t="s">
        <v>45</v>
      </c>
      <c r="G18" s="80">
        <f>U2*AA2/Total_Zg/POWER(P16,(1/3))</f>
        <v>0.15336511511497422</v>
      </c>
      <c r="H18" s="80"/>
      <c r="I18" s="80"/>
      <c r="J18" s="27"/>
      <c r="K18" s="79" t="s">
        <v>85</v>
      </c>
      <c r="L18" s="79"/>
      <c r="M18" s="79" t="s">
        <v>45</v>
      </c>
      <c r="N18" s="79">
        <v>0.42</v>
      </c>
      <c r="O18" s="79"/>
      <c r="P18" s="79"/>
      <c r="R18" s="79" t="s">
        <v>86</v>
      </c>
      <c r="S18" s="79"/>
      <c r="T18" s="79" t="s">
        <v>45</v>
      </c>
      <c r="U18" s="79" t="s">
        <v>87</v>
      </c>
      <c r="V18" s="79"/>
      <c r="W18" s="79"/>
      <c r="X18" s="79" t="s">
        <v>45</v>
      </c>
      <c r="Y18" s="80">
        <f>N18/(SQRT(U2))</f>
        <v>0.46179183251014344</v>
      </c>
      <c r="Z18" s="80"/>
      <c r="AA18" s="80"/>
    </row>
    <row r="19" spans="2:27" ht="18">
      <c r="B19" s="54" t="s">
        <v>83</v>
      </c>
      <c r="C19" s="55"/>
      <c r="D19" s="55" t="s">
        <v>84</v>
      </c>
      <c r="E19" s="55"/>
      <c r="F19" s="79"/>
      <c r="G19" s="80"/>
      <c r="H19" s="80"/>
      <c r="I19" s="80"/>
      <c r="J19" s="27"/>
      <c r="K19" s="79"/>
      <c r="L19" s="79"/>
      <c r="M19" s="79"/>
      <c r="N19" s="79"/>
      <c r="O19" s="79"/>
      <c r="P19" s="79"/>
      <c r="R19" s="79"/>
      <c r="S19" s="79"/>
      <c r="T19" s="79"/>
      <c r="U19" s="79"/>
      <c r="V19" s="79"/>
      <c r="W19" s="79"/>
      <c r="X19" s="79"/>
      <c r="Y19" s="80"/>
      <c r="Z19" s="80"/>
      <c r="AA19" s="80"/>
    </row>
    <row r="21" spans="2:29" ht="15.75">
      <c r="B21" s="55" t="s">
        <v>88</v>
      </c>
      <c r="C21" s="55"/>
      <c r="D21" s="1" t="s">
        <v>45</v>
      </c>
      <c r="E21" s="55" t="s">
        <v>89</v>
      </c>
      <c r="F21" s="55"/>
      <c r="G21" s="55"/>
      <c r="H21" s="55"/>
      <c r="I21" s="55"/>
      <c r="J21" s="55"/>
      <c r="K21" t="s">
        <v>45</v>
      </c>
      <c r="L21" s="58">
        <f>1.1/1000*Y18*Y18*AF8*AA2</f>
        <v>0.04726834968912234</v>
      </c>
      <c r="M21" s="58"/>
      <c r="N21" s="58"/>
      <c r="Q21" s="1" t="s">
        <v>90</v>
      </c>
      <c r="R21" s="1" t="s">
        <v>45</v>
      </c>
      <c r="S21" s="55" t="s">
        <v>91</v>
      </c>
      <c r="T21" s="55"/>
      <c r="U21" s="55"/>
      <c r="V21" s="55"/>
      <c r="W21" t="s">
        <v>45</v>
      </c>
      <c r="X21" s="63">
        <f>0.3/L21</f>
        <v>6.346741571750657</v>
      </c>
      <c r="Y21" s="64"/>
      <c r="Z21" s="71"/>
      <c r="AA21" s="26" t="s">
        <v>76</v>
      </c>
      <c r="AB21" s="66">
        <v>1</v>
      </c>
      <c r="AC21" s="66"/>
    </row>
    <row r="23" spans="2:26" ht="15.75">
      <c r="B23" s="60" t="s">
        <v>98</v>
      </c>
      <c r="C23" s="55"/>
      <c r="D23" t="s">
        <v>45</v>
      </c>
      <c r="E23" s="61">
        <v>34</v>
      </c>
      <c r="F23" s="62"/>
      <c r="G23" s="47" t="s">
        <v>60</v>
      </c>
      <c r="H23" s="26" t="s">
        <v>76</v>
      </c>
      <c r="I23" s="55">
        <v>30</v>
      </c>
      <c r="J23" s="55"/>
      <c r="K23" s="24" t="s">
        <v>60</v>
      </c>
      <c r="Q23" s="60" t="s">
        <v>99</v>
      </c>
      <c r="R23" s="55"/>
      <c r="S23" t="s">
        <v>45</v>
      </c>
      <c r="T23" s="61">
        <v>56</v>
      </c>
      <c r="U23" s="62"/>
      <c r="V23" s="47" t="s">
        <v>60</v>
      </c>
      <c r="W23" s="26" t="s">
        <v>76</v>
      </c>
      <c r="X23" s="55">
        <v>50</v>
      </c>
      <c r="Y23" s="55"/>
      <c r="Z23" s="24" t="s">
        <v>60</v>
      </c>
    </row>
    <row r="25" spans="2:29" ht="15.75">
      <c r="B25" s="55" t="s">
        <v>101</v>
      </c>
      <c r="C25" s="55"/>
      <c r="D25" s="55"/>
      <c r="E25" s="55"/>
      <c r="F25" s="55"/>
      <c r="G25" t="s">
        <v>45</v>
      </c>
      <c r="H25" s="63">
        <f>D2-Total_Zg</f>
        <v>0.6456419292709921</v>
      </c>
      <c r="I25" s="65"/>
      <c r="J25" s="48" t="s">
        <v>100</v>
      </c>
      <c r="K25" s="26" t="s">
        <v>76</v>
      </c>
      <c r="L25" s="55">
        <v>0.34</v>
      </c>
      <c r="M25" s="55"/>
      <c r="N25" s="55"/>
      <c r="O25" t="s">
        <v>100</v>
      </c>
      <c r="T25" s="55" t="s">
        <v>116</v>
      </c>
      <c r="U25" s="55"/>
      <c r="V25" t="s">
        <v>45</v>
      </c>
      <c r="W25" s="63">
        <v>0.51</v>
      </c>
      <c r="X25" s="64"/>
      <c r="Y25" s="48" t="s">
        <v>100</v>
      </c>
      <c r="Z25" s="26" t="s">
        <v>76</v>
      </c>
      <c r="AA25" s="58">
        <v>0.25</v>
      </c>
      <c r="AB25" s="58"/>
      <c r="AC25" t="s">
        <v>100</v>
      </c>
    </row>
    <row r="28" spans="2:36" ht="15.75">
      <c r="B28" s="55" t="s">
        <v>102</v>
      </c>
      <c r="C28" s="55"/>
      <c r="D28" t="s">
        <v>45</v>
      </c>
      <c r="E28" s="55">
        <v>1.753</v>
      </c>
      <c r="F28" s="55"/>
      <c r="G28" s="55"/>
      <c r="K28" t="s">
        <v>103</v>
      </c>
      <c r="L28" t="s">
        <v>45</v>
      </c>
      <c r="M28" s="58">
        <v>154.92</v>
      </c>
      <c r="N28" s="58"/>
      <c r="O28" s="58"/>
      <c r="S28" t="s">
        <v>104</v>
      </c>
      <c r="T28" t="s">
        <v>45</v>
      </c>
      <c r="U28" s="58">
        <v>-2.17</v>
      </c>
      <c r="V28" s="58"/>
      <c r="W28" s="58"/>
      <c r="AA28" s="55" t="s">
        <v>105</v>
      </c>
      <c r="AB28" s="55"/>
      <c r="AC28" t="s">
        <v>45</v>
      </c>
      <c r="AD28" s="55" t="s">
        <v>106</v>
      </c>
      <c r="AE28" s="55"/>
      <c r="AF28" s="55"/>
      <c r="AG28" t="s">
        <v>45</v>
      </c>
      <c r="AH28" s="58">
        <f>E28+M28-Лист1!E40</f>
        <v>152.32019154330172</v>
      </c>
      <c r="AI28" s="55"/>
      <c r="AJ28" s="55"/>
    </row>
    <row r="30" spans="2:32" ht="15.75">
      <c r="B30" s="55" t="s">
        <v>107</v>
      </c>
      <c r="C30" s="55"/>
      <c r="D30" t="s">
        <v>45</v>
      </c>
      <c r="E30" s="58">
        <v>-0.82</v>
      </c>
      <c r="F30" s="58"/>
      <c r="G30" s="58"/>
      <c r="I30" s="1"/>
      <c r="J30" s="1"/>
      <c r="K30" s="53" t="s">
        <v>57</v>
      </c>
      <c r="L30" t="s">
        <v>45</v>
      </c>
      <c r="M30" s="55" t="s">
        <v>108</v>
      </c>
      <c r="N30" s="55"/>
      <c r="O30" s="55"/>
      <c r="P30" s="55"/>
      <c r="Q30" s="55"/>
      <c r="R30" s="55"/>
      <c r="S30" t="s">
        <v>45</v>
      </c>
      <c r="T30" s="59">
        <f>(Total_Mx-Displacement*E30)/(Displacement*AH28)</f>
        <v>-0.0043128176800162005</v>
      </c>
      <c r="U30" s="59"/>
      <c r="V30" s="59"/>
      <c r="W30" s="59"/>
      <c r="AA30" s="55" t="s">
        <v>109</v>
      </c>
      <c r="AB30" s="55"/>
      <c r="AC30" t="s">
        <v>45</v>
      </c>
      <c r="AD30" s="58">
        <v>78.1</v>
      </c>
      <c r="AE30" s="58"/>
      <c r="AF30" s="58"/>
    </row>
    <row r="32" spans="2:31" ht="15.75">
      <c r="B32" s="55" t="s">
        <v>110</v>
      </c>
      <c r="C32" s="55"/>
      <c r="D32" t="s">
        <v>45</v>
      </c>
      <c r="E32" s="55" t="s">
        <v>111</v>
      </c>
      <c r="F32" s="55"/>
      <c r="G32" s="55"/>
      <c r="H32" s="55"/>
      <c r="I32" s="55"/>
      <c r="J32" t="s">
        <v>45</v>
      </c>
      <c r="K32" s="58">
        <f>W4+((AD30/2)-U28)*T30</f>
        <v>3.182225655229732</v>
      </c>
      <c r="L32" s="58"/>
      <c r="M32" s="58"/>
      <c r="T32" s="55" t="s">
        <v>112</v>
      </c>
      <c r="U32" s="55"/>
      <c r="V32" t="s">
        <v>45</v>
      </c>
      <c r="W32" s="55" t="s">
        <v>113</v>
      </c>
      <c r="X32" s="55"/>
      <c r="Y32" s="55"/>
      <c r="Z32" s="55"/>
      <c r="AA32" s="55"/>
      <c r="AB32" t="s">
        <v>45</v>
      </c>
      <c r="AC32" s="58">
        <f>W4-((AD30/2)+U28)*T30</f>
        <v>3.5190567160389974</v>
      </c>
      <c r="AD32" s="58"/>
      <c r="AE32" s="58"/>
    </row>
  </sheetData>
  <mergeCells count="105">
    <mergeCell ref="U18:W19"/>
    <mergeCell ref="X18:X19"/>
    <mergeCell ref="Y18:AA19"/>
    <mergeCell ref="AB21:AC21"/>
    <mergeCell ref="B21:C21"/>
    <mergeCell ref="E21:J21"/>
    <mergeCell ref="L21:N21"/>
    <mergeCell ref="S21:V21"/>
    <mergeCell ref="M18:M19"/>
    <mergeCell ref="N18:P19"/>
    <mergeCell ref="R18:S19"/>
    <mergeCell ref="T18:T19"/>
    <mergeCell ref="F18:F19"/>
    <mergeCell ref="G18:I19"/>
    <mergeCell ref="K18:L19"/>
    <mergeCell ref="B18:C18"/>
    <mergeCell ref="D18:E18"/>
    <mergeCell ref="B19:C19"/>
    <mergeCell ref="D19:E19"/>
    <mergeCell ref="M16:N16"/>
    <mergeCell ref="P16:S16"/>
    <mergeCell ref="T16:U16"/>
    <mergeCell ref="A16:B16"/>
    <mergeCell ref="D16:F16"/>
    <mergeCell ref="G16:H16"/>
    <mergeCell ref="J16:K16"/>
    <mergeCell ref="Q12:R12"/>
    <mergeCell ref="T12:U12"/>
    <mergeCell ref="W12:Y12"/>
    <mergeCell ref="A14:B14"/>
    <mergeCell ref="D14:F14"/>
    <mergeCell ref="H14:J14"/>
    <mergeCell ref="L14:M14"/>
    <mergeCell ref="A12:B12"/>
    <mergeCell ref="D12:H12"/>
    <mergeCell ref="J12:L12"/>
    <mergeCell ref="L8:N8"/>
    <mergeCell ref="P8:R8"/>
    <mergeCell ref="V8:X8"/>
    <mergeCell ref="Z8:AA8"/>
    <mergeCell ref="A10:B10"/>
    <mergeCell ref="D10:F10"/>
    <mergeCell ref="J10:L10"/>
    <mergeCell ref="P10:R10"/>
    <mergeCell ref="D8:F8"/>
    <mergeCell ref="H8:I8"/>
    <mergeCell ref="A8:B8"/>
    <mergeCell ref="A6:B6"/>
    <mergeCell ref="AD4:AF4"/>
    <mergeCell ref="D6:F6"/>
    <mergeCell ref="J6:L6"/>
    <mergeCell ref="O6:Q6"/>
    <mergeCell ref="S6:U6"/>
    <mergeCell ref="Y6:AA6"/>
    <mergeCell ref="T10:AI10"/>
    <mergeCell ref="X21:Z21"/>
    <mergeCell ref="AJ8:AK8"/>
    <mergeCell ref="AA2:AC2"/>
    <mergeCell ref="AG2:AI2"/>
    <mergeCell ref="W4:Y4"/>
    <mergeCell ref="AA4:AB4"/>
    <mergeCell ref="U2:W2"/>
    <mergeCell ref="AJ4:AL4"/>
    <mergeCell ref="AK10:AM10"/>
    <mergeCell ref="AM8:AN8"/>
    <mergeCell ref="AC8:AD8"/>
    <mergeCell ref="H2:I2"/>
    <mergeCell ref="A4:O4"/>
    <mergeCell ref="P4:R4"/>
    <mergeCell ref="K2:M2"/>
    <mergeCell ref="O2:S2"/>
    <mergeCell ref="A2:B2"/>
    <mergeCell ref="D2:F2"/>
    <mergeCell ref="AF8:AG8"/>
    <mergeCell ref="E23:F23"/>
    <mergeCell ref="B23:C23"/>
    <mergeCell ref="I23:J23"/>
    <mergeCell ref="B25:F25"/>
    <mergeCell ref="H25:I25"/>
    <mergeCell ref="Q23:R23"/>
    <mergeCell ref="T23:U23"/>
    <mergeCell ref="T25:U25"/>
    <mergeCell ref="AH28:AJ28"/>
    <mergeCell ref="W25:X25"/>
    <mergeCell ref="AA25:AB25"/>
    <mergeCell ref="X23:Y23"/>
    <mergeCell ref="AA30:AB30"/>
    <mergeCell ref="AD30:AF30"/>
    <mergeCell ref="B28:C28"/>
    <mergeCell ref="E28:G28"/>
    <mergeCell ref="M28:O28"/>
    <mergeCell ref="B30:C30"/>
    <mergeCell ref="E30:G30"/>
    <mergeCell ref="M30:R30"/>
    <mergeCell ref="T30:W30"/>
    <mergeCell ref="W32:AA32"/>
    <mergeCell ref="AC32:AE32"/>
    <mergeCell ref="L25:N25"/>
    <mergeCell ref="B32:C32"/>
    <mergeCell ref="E32:I32"/>
    <mergeCell ref="K32:M32"/>
    <mergeCell ref="T32:U32"/>
    <mergeCell ref="AA28:AB28"/>
    <mergeCell ref="AD28:AF28"/>
    <mergeCell ref="U28:W28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8">
      <selection activeCell="A8" sqref="A8"/>
    </sheetView>
  </sheetViews>
  <sheetFormatPr defaultColWidth="9.00390625" defaultRowHeight="12.75"/>
  <cols>
    <col min="1" max="1" width="11.625" style="0" customWidth="1"/>
    <col min="2" max="15" width="5.25390625" style="0" customWidth="1"/>
  </cols>
  <sheetData>
    <row r="1" spans="1:15" ht="25.5">
      <c r="A1" s="28" t="s">
        <v>93</v>
      </c>
      <c r="B1" s="29">
        <v>-40</v>
      </c>
      <c r="C1" s="29">
        <v>-30</v>
      </c>
      <c r="D1" s="29">
        <v>-20</v>
      </c>
      <c r="E1" s="29">
        <v>-10</v>
      </c>
      <c r="F1" s="29">
        <v>0</v>
      </c>
      <c r="G1" s="30">
        <v>10</v>
      </c>
      <c r="H1" s="30">
        <v>20</v>
      </c>
      <c r="I1" s="30">
        <v>30</v>
      </c>
      <c r="J1" s="30">
        <v>40</v>
      </c>
      <c r="K1" s="30">
        <v>50</v>
      </c>
      <c r="L1" s="30">
        <v>60</v>
      </c>
      <c r="M1" s="30">
        <v>70</v>
      </c>
      <c r="N1" s="30">
        <v>80</v>
      </c>
      <c r="O1" s="30">
        <v>90</v>
      </c>
    </row>
    <row r="2" spans="1:15" ht="12.75">
      <c r="A2" s="31" t="s">
        <v>25</v>
      </c>
      <c r="B2" s="32">
        <f>-J2</f>
        <v>-3.404</v>
      </c>
      <c r="C2" s="32">
        <f>-I2</f>
        <v>-2.772</v>
      </c>
      <c r="D2" s="32">
        <f>-H2</f>
        <v>-1.8292</v>
      </c>
      <c r="E2" s="32">
        <f>-G2</f>
        <v>-0.9076</v>
      </c>
      <c r="F2" s="32">
        <v>0</v>
      </c>
      <c r="G2" s="33">
        <v>0.9076</v>
      </c>
      <c r="H2" s="33">
        <v>1.8292</v>
      </c>
      <c r="I2" s="33">
        <v>2.772</v>
      </c>
      <c r="J2" s="33">
        <v>3.404</v>
      </c>
      <c r="K2" s="33">
        <v>3.7132</v>
      </c>
      <c r="L2" s="33">
        <v>3.815</v>
      </c>
      <c r="M2" s="33">
        <v>3.756</v>
      </c>
      <c r="N2" s="33"/>
      <c r="O2" s="33"/>
    </row>
    <row r="3" spans="1:15" ht="12.75">
      <c r="A3" s="31" t="s">
        <v>24</v>
      </c>
      <c r="B3" s="32">
        <f>-J3</f>
        <v>-0.4893146321353936</v>
      </c>
      <c r="C3" s="32">
        <f>-I3</f>
        <v>-0.504820964635496</v>
      </c>
      <c r="D3" s="32">
        <f>-H3</f>
        <v>-0.2784495398106792</v>
      </c>
      <c r="E3" s="32">
        <f>-G3</f>
        <v>-0.12043543892144426</v>
      </c>
      <c r="F3" s="33">
        <f>F2-Total_Zg*SIN(RADIANS(0))</f>
        <v>0</v>
      </c>
      <c r="G3" s="33">
        <f>G2-Total_Zg*0.1736</f>
        <v>0.12043543892144426</v>
      </c>
      <c r="H3" s="33">
        <f>H2-Total_Zg*0.342</f>
        <v>0.2784495398106792</v>
      </c>
      <c r="I3" s="33">
        <f>I2-Total_Zg*0.5</f>
        <v>0.504820964635496</v>
      </c>
      <c r="J3" s="33">
        <f>J2-Total_Zg*0.6428</f>
        <v>0.4893146321353936</v>
      </c>
      <c r="K3" s="33">
        <f>K2-Total_Zg*0.766</f>
        <v>0.23988171782157997</v>
      </c>
      <c r="L3" s="33">
        <f>L2-Total_Zg*0.866</f>
        <v>-0.11175408925132047</v>
      </c>
      <c r="M3" s="33">
        <f>M2-Total_Zg*0.9397</f>
        <v>-0.5049362790640486</v>
      </c>
      <c r="N3" s="33"/>
      <c r="O3" s="33"/>
    </row>
    <row r="4" spans="1:15" ht="12.75">
      <c r="A4" s="31" t="s">
        <v>92</v>
      </c>
      <c r="B4" s="32">
        <f>-J4</f>
        <v>-2.2967265188706323</v>
      </c>
      <c r="C4" s="32">
        <f>-I4</f>
        <v>-1.302590922099743</v>
      </c>
      <c r="D4" s="32">
        <f>-H4</f>
        <v>-0.5193204176535677</v>
      </c>
      <c r="E4" s="32">
        <f>-G4</f>
        <v>-0.12043543892144426</v>
      </c>
      <c r="F4" s="33">
        <v>0</v>
      </c>
      <c r="G4" s="33">
        <f>F3+G3</f>
        <v>0.12043543892144426</v>
      </c>
      <c r="H4" s="33">
        <f aca="true" t="shared" si="0" ref="H4:M4">G4+G3+H3</f>
        <v>0.5193204176535677</v>
      </c>
      <c r="I4" s="33">
        <f t="shared" si="0"/>
        <v>1.302590922099743</v>
      </c>
      <c r="J4" s="33">
        <f t="shared" si="0"/>
        <v>2.2967265188706323</v>
      </c>
      <c r="K4" s="33">
        <f t="shared" si="0"/>
        <v>3.025922868827606</v>
      </c>
      <c r="L4" s="33">
        <f t="shared" si="0"/>
        <v>3.1540504973978654</v>
      </c>
      <c r="M4" s="33">
        <f t="shared" si="0"/>
        <v>2.5373601290824963</v>
      </c>
      <c r="N4" s="33"/>
      <c r="O4" s="33"/>
    </row>
    <row r="5" spans="1:15" ht="12.75">
      <c r="A5" s="34" t="s">
        <v>26</v>
      </c>
      <c r="B5" s="32">
        <f>-J5</f>
        <v>-0.20027455244551914</v>
      </c>
      <c r="C5" s="32">
        <f>-I5</f>
        <v>-0.11358592840709758</v>
      </c>
      <c r="D5" s="32">
        <f>-H5</f>
        <v>-0.04528474041939111</v>
      </c>
      <c r="E5" s="32">
        <f>-G5</f>
        <v>-0.01050197027394994</v>
      </c>
      <c r="F5" s="32">
        <v>0</v>
      </c>
      <c r="G5" s="35">
        <f>0.0872*G4</f>
        <v>0.01050197027394994</v>
      </c>
      <c r="H5" s="35">
        <f aca="true" t="shared" si="1" ref="H5:M5">0.0872*H4</f>
        <v>0.04528474041939111</v>
      </c>
      <c r="I5" s="35">
        <f t="shared" si="1"/>
        <v>0.11358592840709758</v>
      </c>
      <c r="J5" s="35">
        <f t="shared" si="1"/>
        <v>0.20027455244551914</v>
      </c>
      <c r="K5" s="35">
        <f t="shared" si="1"/>
        <v>0.2638604741617672</v>
      </c>
      <c r="L5" s="35">
        <f t="shared" si="1"/>
        <v>0.27503320337309384</v>
      </c>
      <c r="M5" s="35">
        <f t="shared" si="1"/>
        <v>0.22125780325599367</v>
      </c>
      <c r="N5" s="35"/>
      <c r="O5" s="3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Евгеньевич Фомичев</dc:creator>
  <cp:keywords/>
  <dc:description/>
  <cp:lastModifiedBy>Александр Евгеньевич Фомичев</cp:lastModifiedBy>
  <cp:lastPrinted>2001-08-30T17:13:55Z</cp:lastPrinted>
  <dcterms:created xsi:type="dcterms:W3CDTF">2000-06-16T18:23:57Z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