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9420" windowHeight="5925" firstSheet="1" activeTab="1"/>
  </bookViews>
  <sheets>
    <sheet name="Реклама" sheetId="1" r:id="rId1"/>
    <sheet name="Ввод" sheetId="2" r:id="rId2"/>
    <sheet name="Коэфф." sheetId="3" r:id="rId3"/>
    <sheet name="Расчеты" sheetId="4" r:id="rId4"/>
    <sheet name="График" sheetId="5" r:id="rId5"/>
    <sheet name="Печать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<sst xmlns="http://schemas.openxmlformats.org/spreadsheetml/2006/main" count="126" uniqueCount="66">
  <si>
    <t>.</t>
  </si>
  <si>
    <t>Кк</t>
  </si>
  <si>
    <t>Кгк</t>
  </si>
  <si>
    <t>Кмк</t>
  </si>
  <si>
    <t>d</t>
  </si>
  <si>
    <t>N</t>
  </si>
  <si>
    <t>разность</t>
  </si>
  <si>
    <t>А</t>
  </si>
  <si>
    <t>&gt;</t>
  </si>
  <si>
    <t>неуд</t>
  </si>
  <si>
    <t>&lt;</t>
  </si>
  <si>
    <t>отл</t>
  </si>
  <si>
    <t>D</t>
  </si>
  <si>
    <t>NE</t>
  </si>
  <si>
    <t>хор</t>
  </si>
  <si>
    <t>B</t>
  </si>
  <si>
    <t>уд</t>
  </si>
  <si>
    <t>C</t>
  </si>
  <si>
    <t>E</t>
  </si>
  <si>
    <t>SE</t>
  </si>
  <si>
    <t>S</t>
  </si>
  <si>
    <t>SW</t>
  </si>
  <si>
    <t>W</t>
  </si>
  <si>
    <t>NW</t>
  </si>
  <si>
    <t>Мн.</t>
  </si>
  <si>
    <t>0.5(1+2)</t>
  </si>
  <si>
    <t>0.5(1-2)</t>
  </si>
  <si>
    <t>Мн.4</t>
  </si>
  <si>
    <t>в.п.cт.3</t>
  </si>
  <si>
    <t>н.п.cт.3</t>
  </si>
  <si>
    <t>0.5(7+8)</t>
  </si>
  <si>
    <t>0.5(7-8)</t>
  </si>
  <si>
    <t>К-т Е</t>
  </si>
  <si>
    <t>К-т D</t>
  </si>
  <si>
    <t>,</t>
  </si>
  <si>
    <t>Сумма</t>
  </si>
  <si>
    <t>К-т А</t>
  </si>
  <si>
    <t>Cумма</t>
  </si>
  <si>
    <t>А=</t>
  </si>
  <si>
    <t>D=</t>
  </si>
  <si>
    <t>B=</t>
  </si>
  <si>
    <t>К-т В</t>
  </si>
  <si>
    <t>К-т С</t>
  </si>
  <si>
    <t>C=</t>
  </si>
  <si>
    <t>4=A+3</t>
  </si>
  <si>
    <t>E=</t>
  </si>
  <si>
    <t>1+2</t>
  </si>
  <si>
    <t>A=</t>
  </si>
  <si>
    <t>С=</t>
  </si>
  <si>
    <t>5+6</t>
  </si>
  <si>
    <t xml:space="preserve">           d</t>
  </si>
  <si>
    <t>D.Мн</t>
  </si>
  <si>
    <t>E.Мн</t>
  </si>
  <si>
    <t>Mн.</t>
  </si>
  <si>
    <t>B.Мн</t>
  </si>
  <si>
    <t>С.Мн</t>
  </si>
  <si>
    <t>4+7</t>
  </si>
  <si>
    <t>оценка</t>
  </si>
  <si>
    <t>4-7</t>
  </si>
  <si>
    <t>РЕЗУЛЬТАТЫ НАБЛЮДЕНИЯ</t>
  </si>
  <si>
    <t>ТАБЛИЦА ДЕВИАЦИИ</t>
  </si>
  <si>
    <t>ДЕВ</t>
  </si>
  <si>
    <t>Мк</t>
  </si>
  <si>
    <t>ОЦЕНКА</t>
  </si>
  <si>
    <t xml:space="preserve"> </t>
  </si>
  <si>
    <t>КОЭФФИЦИЕНТЫ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</si>
</sst>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8"/>
      <name val="Symbol"/>
      <family val="0"/>
    </font>
    <font>
      <sz val="8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b/>
      <sz val="8"/>
      <color indexed="9"/>
      <name val="Arial Cyr"/>
      <family val="2"/>
    </font>
    <font>
      <b/>
      <sz val="8"/>
      <color indexed="26"/>
      <name val="Arial Cyr"/>
      <family val="2"/>
    </font>
    <font>
      <b/>
      <sz val="10"/>
      <color indexed="26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0"/>
    </font>
    <font>
      <b/>
      <sz val="12"/>
      <name val="Arial Cyr"/>
      <family val="0"/>
    </font>
    <font>
      <sz val="8"/>
      <name val="Courier New Cyr"/>
      <family val="3"/>
    </font>
    <font>
      <b/>
      <sz val="14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4"/>
      <color indexed="10"/>
      <name val="Arial Cyr"/>
      <family val="2"/>
    </font>
    <font>
      <b/>
      <sz val="8"/>
      <color indexed="10"/>
      <name val="Arial Cyr"/>
      <family val="2"/>
    </font>
    <font>
      <b/>
      <sz val="8"/>
      <color indexed="18"/>
      <name val="Arial Cyr"/>
      <family val="2"/>
    </font>
    <font>
      <b/>
      <sz val="8"/>
      <color indexed="11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2" fontId="4" fillId="5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171" fontId="4" fillId="0" borderId="0" xfId="18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2" fontId="4" fillId="6" borderId="17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2" fontId="9" fillId="4" borderId="9" xfId="0" applyNumberFormat="1" applyFont="1" applyFill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vertical="center"/>
    </xf>
    <xf numFmtId="2" fontId="9" fillId="4" borderId="17" xfId="0" applyNumberFormat="1" applyFont="1" applyFill="1" applyBorder="1" applyAlignment="1">
      <alignment horizontal="center" vertical="center"/>
    </xf>
    <xf numFmtId="2" fontId="9" fillId="4" borderId="19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2" fontId="9" fillId="4" borderId="16" xfId="0" applyNumberFormat="1" applyFont="1" applyFill="1" applyBorder="1" applyAlignment="1">
      <alignment horizontal="center" vertical="center"/>
    </xf>
    <xf numFmtId="182" fontId="4" fillId="3" borderId="15" xfId="0" applyNumberFormat="1" applyFont="1" applyFill="1" applyBorder="1" applyAlignment="1">
      <alignment horizontal="center" vertical="center"/>
    </xf>
    <xf numFmtId="182" fontId="4" fillId="3" borderId="17" xfId="0" applyNumberFormat="1" applyFont="1" applyFill="1" applyBorder="1" applyAlignment="1">
      <alignment horizontal="center" vertical="center"/>
    </xf>
    <xf numFmtId="182" fontId="4" fillId="3" borderId="19" xfId="0" applyNumberFormat="1" applyFont="1" applyFill="1" applyBorder="1" applyAlignment="1">
      <alignment horizontal="center" vertical="center"/>
    </xf>
    <xf numFmtId="182" fontId="4" fillId="6" borderId="17" xfId="0" applyNumberFormat="1" applyFont="1" applyFill="1" applyBorder="1" applyAlignment="1">
      <alignment horizontal="center" vertical="center"/>
    </xf>
    <xf numFmtId="182" fontId="9" fillId="4" borderId="16" xfId="0" applyNumberFormat="1" applyFont="1" applyFill="1" applyBorder="1" applyAlignment="1">
      <alignment horizontal="center" vertical="center"/>
    </xf>
    <xf numFmtId="182" fontId="9" fillId="4" borderId="3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6" borderId="1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182" fontId="6" fillId="7" borderId="28" xfId="0" applyNumberFormat="1" applyFont="1" applyFill="1" applyBorder="1" applyAlignment="1">
      <alignment horizontal="center" vertical="center"/>
    </xf>
    <xf numFmtId="182" fontId="13" fillId="7" borderId="16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182" fontId="6" fillId="7" borderId="29" xfId="0" applyNumberFormat="1" applyFont="1" applyFill="1" applyBorder="1" applyAlignment="1">
      <alignment horizontal="center" vertical="center"/>
    </xf>
    <xf numFmtId="182" fontId="6" fillId="7" borderId="18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82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82" fontId="6" fillId="0" borderId="2" xfId="0" applyNumberFormat="1" applyFont="1" applyBorder="1" applyAlignment="1">
      <alignment horizontal="center" vertical="center"/>
    </xf>
    <xf numFmtId="182" fontId="6" fillId="0" borderId="2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7" borderId="30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/>
    </xf>
    <xf numFmtId="182" fontId="19" fillId="8" borderId="28" xfId="0" applyNumberFormat="1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182" fontId="19" fillId="8" borderId="29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182" fontId="19" fillId="8" borderId="2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20" fillId="10" borderId="37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182" fontId="19" fillId="8" borderId="13" xfId="0" applyNumberFormat="1" applyFont="1" applyFill="1" applyBorder="1" applyAlignment="1">
      <alignment horizontal="center" vertical="center"/>
    </xf>
    <xf numFmtId="182" fontId="19" fillId="8" borderId="35" xfId="0" applyNumberFormat="1" applyFont="1" applyFill="1" applyBorder="1" applyAlignment="1">
      <alignment horizontal="center" vertical="center"/>
    </xf>
    <xf numFmtId="182" fontId="19" fillId="8" borderId="38" xfId="0" applyNumberFormat="1" applyFont="1" applyFill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График девиации</a:t>
            </a:r>
          </a:p>
        </c:rich>
      </c:tx>
      <c:layout>
        <c:manualLayout>
          <c:xMode val="factor"/>
          <c:yMode val="factor"/>
          <c:x val="-0.06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31"/>
          <c:w val="0.86775"/>
          <c:h val="0.66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Ввод!$F$4:$F$27</c:f>
              <c:numCache/>
            </c:numRef>
          </c:cat>
          <c:val>
            <c:numRef>
              <c:f>Ввод!$G$4:$G$27</c:f>
              <c:numCache/>
            </c:numRef>
          </c:val>
          <c:smooth val="1"/>
        </c:ser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2360950"/>
        <c:crosses val="autoZero"/>
        <c:auto val="0"/>
        <c:lblOffset val="100"/>
        <c:noMultiLvlLbl val="0"/>
      </c:catAx>
      <c:valAx>
        <c:axId val="623609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1668237"/>
        <c:crossesAt val="1"/>
        <c:crossBetween val="midCat"/>
        <c:dispUnits/>
      </c:valAx>
      <c:spPr>
        <a:solidFill>
          <a:srgbClr val="FFFFC0"/>
        </a:solidFill>
        <a:ln w="254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00FFFF"/>
    </a:solidFill>
    <a:ln w="25400">
      <a:solidFill>
        <a:srgbClr val="00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График девиации</a:t>
            </a:r>
          </a:p>
        </c:rich>
      </c:tx>
      <c:layout>
        <c:manualLayout>
          <c:xMode val="factor"/>
          <c:yMode val="factor"/>
          <c:x val="-0.06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935"/>
          <c:w val="0.92475"/>
          <c:h val="0.70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Ввод!$F$4:$F$27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Ввод!$G$4:$G$27</c:f>
              <c:numCache>
                <c:ptCount val="24"/>
                <c:pt idx="0">
                  <c:v>0.590615625</c:v>
                </c:pt>
                <c:pt idx="1">
                  <c:v>0.07837776545513209</c:v>
                </c:pt>
                <c:pt idx="2">
                  <c:v>-0.733326683943663</c:v>
                </c:pt>
                <c:pt idx="3">
                  <c:v>-1.635277204743725</c:v>
                </c:pt>
                <c:pt idx="4">
                  <c:v>-2.379602273537225</c:v>
                </c:pt>
                <c:pt idx="5">
                  <c:v>-2.753242375531312</c:v>
                </c:pt>
                <c:pt idx="6">
                  <c:v>-2.629265625</c:v>
                </c:pt>
                <c:pt idx="7">
                  <c:v>-2.0048534602182997</c:v>
                </c:pt>
                <c:pt idx="8">
                  <c:v>-1.0089967965729811</c:v>
                </c:pt>
                <c:pt idx="9">
                  <c:v>0.13556240890414323</c:v>
                </c:pt>
                <c:pt idx="10">
                  <c:v>1.1656573579929155</c:v>
                </c:pt>
                <c:pt idx="11">
                  <c:v>1.847656211605345</c:v>
                </c:pt>
                <c:pt idx="12">
                  <c:v>2.034384375</c:v>
                </c:pt>
                <c:pt idx="13">
                  <c:v>1.7015735114835244</c:v>
                </c:pt>
                <c:pt idx="14">
                  <c:v>0.9578980559408792</c:v>
                </c:pt>
                <c:pt idx="15">
                  <c:v>0.010277204743724955</c:v>
                </c:pt>
                <c:pt idx="16">
                  <c:v>-0.8934086276514193</c:v>
                </c:pt>
                <c:pt idx="17">
                  <c:v>-1.526190817090029</c:v>
                </c:pt>
                <c:pt idx="18">
                  <c:v>-1.745734375</c:v>
                </c:pt>
                <c:pt idx="19">
                  <c:v>-1.5250978167203568</c:v>
                </c:pt>
                <c:pt idx="20">
                  <c:v>-0.965574575424235</c:v>
                </c:pt>
                <c:pt idx="21">
                  <c:v>-0.26056240890414323</c:v>
                </c:pt>
                <c:pt idx="22">
                  <c:v>0.35735354319572893</c:v>
                </c:pt>
                <c:pt idx="23">
                  <c:v>0.6817769810159962</c:v>
                </c:pt>
              </c:numCache>
            </c:numRef>
          </c:val>
          <c:smooth val="1"/>
        </c:ser>
        <c:axId val="24377639"/>
        <c:axId val="18072160"/>
      </c:lineChart>
      <c:catAx>
        <c:axId val="243776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8072160"/>
        <c:crosses val="autoZero"/>
        <c:auto val="0"/>
        <c:lblOffset val="100"/>
        <c:noMultiLvlLbl val="0"/>
      </c:catAx>
      <c:valAx>
        <c:axId val="180721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4377639"/>
        <c:crossesAt val="1"/>
        <c:crossBetween val="midCat"/>
        <c:dispUnits/>
      </c:valAx>
      <c:spPr>
        <a:solidFill>
          <a:srgbClr val="FFFF99"/>
        </a:solidFill>
        <a:ln w="254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69FFFF"/>
    </a:solidFill>
    <a:ln w="254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График девиации
</a:t>
            </a:r>
            <a:r>
              <a:rPr lang="en-US" cap="none" sz="10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Положение ПЛ ____ Состояние РУ____</a:t>
            </a:r>
            <a:r>
              <a:rPr lang="en-US" cap="none" sz="1400" b="1" i="1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
</a:t>
            </a:r>
          </a:p>
        </c:rich>
      </c:tx>
      <c:layout>
        <c:manualLayout>
          <c:xMode val="factor"/>
          <c:yMode val="factor"/>
          <c:x val="-0.03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075"/>
          <c:w val="0.935"/>
          <c:h val="0.74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Ввод!$F$4:$F$27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Ввод!$G$4:$G$27</c:f>
              <c:numCache>
                <c:ptCount val="24"/>
                <c:pt idx="0">
                  <c:v>0.590615625</c:v>
                </c:pt>
                <c:pt idx="1">
                  <c:v>0.07837776545513209</c:v>
                </c:pt>
                <c:pt idx="2">
                  <c:v>-0.733326683943663</c:v>
                </c:pt>
                <c:pt idx="3">
                  <c:v>-1.635277204743725</c:v>
                </c:pt>
                <c:pt idx="4">
                  <c:v>-2.379602273537225</c:v>
                </c:pt>
                <c:pt idx="5">
                  <c:v>-2.753242375531312</c:v>
                </c:pt>
                <c:pt idx="6">
                  <c:v>-2.629265625</c:v>
                </c:pt>
                <c:pt idx="7">
                  <c:v>-2.0048534602182997</c:v>
                </c:pt>
                <c:pt idx="8">
                  <c:v>-1.0089967965729811</c:v>
                </c:pt>
                <c:pt idx="9">
                  <c:v>0.13556240890414323</c:v>
                </c:pt>
                <c:pt idx="10">
                  <c:v>1.1656573579929155</c:v>
                </c:pt>
                <c:pt idx="11">
                  <c:v>1.847656211605345</c:v>
                </c:pt>
                <c:pt idx="12">
                  <c:v>2.034384375</c:v>
                </c:pt>
                <c:pt idx="13">
                  <c:v>1.7015735114835244</c:v>
                </c:pt>
                <c:pt idx="14">
                  <c:v>0.9578980559408792</c:v>
                </c:pt>
                <c:pt idx="15">
                  <c:v>0.010277204743724955</c:v>
                </c:pt>
                <c:pt idx="16">
                  <c:v>-0.8934086276514193</c:v>
                </c:pt>
                <c:pt idx="17">
                  <c:v>-1.526190817090029</c:v>
                </c:pt>
                <c:pt idx="18">
                  <c:v>-1.745734375</c:v>
                </c:pt>
                <c:pt idx="19">
                  <c:v>-1.5250978167203568</c:v>
                </c:pt>
                <c:pt idx="20">
                  <c:v>-0.965574575424235</c:v>
                </c:pt>
                <c:pt idx="21">
                  <c:v>-0.26056240890414323</c:v>
                </c:pt>
                <c:pt idx="22">
                  <c:v>0.35735354319572893</c:v>
                </c:pt>
                <c:pt idx="23">
                  <c:v>0.6817769810159962</c:v>
                </c:pt>
              </c:numCache>
            </c:numRef>
          </c:val>
          <c:smooth val="1"/>
        </c:ser>
        <c:axId val="28431713"/>
        <c:axId val="54558826"/>
      </c:lineChart>
      <c:catAx>
        <c:axId val="284317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4558826"/>
        <c:crosses val="autoZero"/>
        <c:auto val="0"/>
        <c:lblOffset val="100"/>
        <c:noMultiLvlLbl val="0"/>
      </c:catAx>
      <c:valAx>
        <c:axId val="545588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8431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28575</xdr:rowOff>
    </xdr:from>
    <xdr:to>
      <xdr:col>7</xdr:col>
      <xdr:colOff>47625</xdr:colOff>
      <xdr:row>2</xdr:row>
      <xdr:rowOff>85725</xdr:rowOff>
    </xdr:to>
    <xdr:sp>
      <xdr:nvSpPr>
        <xdr:cNvPr id="1" name="Текст 20"/>
        <xdr:cNvSpPr txBox="1">
          <a:spLocks noChangeArrowheads="1"/>
        </xdr:cNvSpPr>
      </xdr:nvSpPr>
      <xdr:spPr>
        <a:xfrm>
          <a:off x="1600200" y="38100"/>
          <a:ext cx="733425" cy="200025"/>
        </a:xfrm>
        <a:prstGeom prst="rect">
          <a:avLst/>
        </a:prstGeom>
        <a:solidFill>
          <a:srgbClr val="FFFF00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Ответ</a:t>
          </a:r>
        </a:p>
      </xdr:txBody>
    </xdr:sp>
    <xdr:clientData/>
  </xdr:twoCellAnchor>
  <xdr:twoCellAnchor>
    <xdr:from>
      <xdr:col>7</xdr:col>
      <xdr:colOff>95250</xdr:colOff>
      <xdr:row>10</xdr:row>
      <xdr:rowOff>57150</xdr:rowOff>
    </xdr:from>
    <xdr:to>
      <xdr:col>23</xdr:col>
      <xdr:colOff>104775</xdr:colOff>
      <xdr:row>26</xdr:row>
      <xdr:rowOff>133350</xdr:rowOff>
    </xdr:to>
    <xdr:graphicFrame>
      <xdr:nvGraphicFramePr>
        <xdr:cNvPr id="2" name="Chart 10"/>
        <xdr:cNvGraphicFramePr/>
      </xdr:nvGraphicFramePr>
      <xdr:xfrm>
        <a:off x="2381250" y="1352550"/>
        <a:ext cx="40386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13</xdr:row>
      <xdr:rowOff>57150</xdr:rowOff>
    </xdr:from>
    <xdr:to>
      <xdr:col>20</xdr:col>
      <xdr:colOff>171450</xdr:colOff>
      <xdr:row>15</xdr:row>
      <xdr:rowOff>0</xdr:rowOff>
    </xdr:to>
    <xdr:sp>
      <xdr:nvSpPr>
        <xdr:cNvPr id="3" name="Текст 13"/>
        <xdr:cNvSpPr txBox="1">
          <a:spLocks noChangeArrowheads="1"/>
        </xdr:cNvSpPr>
      </xdr:nvSpPr>
      <xdr:spPr>
        <a:xfrm>
          <a:off x="2962275" y="1781175"/>
          <a:ext cx="2781300" cy="228600"/>
        </a:xfrm>
        <a:prstGeom prst="rect">
          <a:avLst/>
        </a:prstGeom>
        <a:solidFill>
          <a:srgbClr val="FFFF00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Можно увеличить/лист график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209550</xdr:colOff>
      <xdr:row>1</xdr:row>
      <xdr:rowOff>57150</xdr:rowOff>
    </xdr:to>
    <xdr:sp>
      <xdr:nvSpPr>
        <xdr:cNvPr id="4" name="Текст 14"/>
        <xdr:cNvSpPr txBox="1">
          <a:spLocks noChangeArrowheads="1"/>
        </xdr:cNvSpPr>
      </xdr:nvSpPr>
      <xdr:spPr>
        <a:xfrm>
          <a:off x="333375" y="19050"/>
          <a:ext cx="52387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9525</xdr:rowOff>
    </xdr:from>
    <xdr:to>
      <xdr:col>3</xdr:col>
      <xdr:colOff>0</xdr:colOff>
      <xdr:row>2</xdr:row>
      <xdr:rowOff>19050</xdr:rowOff>
    </xdr:to>
    <xdr:sp>
      <xdr:nvSpPr>
        <xdr:cNvPr id="5" name="Текст 15"/>
        <xdr:cNvSpPr txBox="1">
          <a:spLocks noChangeArrowheads="1"/>
        </xdr:cNvSpPr>
      </xdr:nvSpPr>
      <xdr:spPr>
        <a:xfrm>
          <a:off x="333375" y="9525"/>
          <a:ext cx="676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Ввод</a:t>
          </a:r>
        </a:p>
      </xdr:txBody>
    </xdr:sp>
    <xdr:clientData/>
  </xdr:twoCellAnchor>
  <xdr:twoCellAnchor>
    <xdr:from>
      <xdr:col>5</xdr:col>
      <xdr:colOff>76200</xdr:colOff>
      <xdr:row>1</xdr:row>
      <xdr:rowOff>9525</xdr:rowOff>
    </xdr:from>
    <xdr:to>
      <xdr:col>5</xdr:col>
      <xdr:colOff>95250</xdr:colOff>
      <xdr:row>1</xdr:row>
      <xdr:rowOff>9525</xdr:rowOff>
    </xdr:to>
    <xdr:sp>
      <xdr:nvSpPr>
        <xdr:cNvPr id="6" name="Текст 16"/>
        <xdr:cNvSpPr txBox="1">
          <a:spLocks noChangeArrowheads="1"/>
        </xdr:cNvSpPr>
      </xdr:nvSpPr>
      <xdr:spPr>
        <a:xfrm>
          <a:off x="1666875" y="1905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19050</xdr:rowOff>
    </xdr:from>
    <xdr:to>
      <xdr:col>3</xdr:col>
      <xdr:colOff>28575</xdr:colOff>
      <xdr:row>2</xdr:row>
      <xdr:rowOff>95250</xdr:rowOff>
    </xdr:to>
    <xdr:sp>
      <xdr:nvSpPr>
        <xdr:cNvPr id="7" name="Текст 18"/>
        <xdr:cNvSpPr txBox="1">
          <a:spLocks noChangeArrowheads="1"/>
        </xdr:cNvSpPr>
      </xdr:nvSpPr>
      <xdr:spPr>
        <a:xfrm>
          <a:off x="133350" y="28575"/>
          <a:ext cx="904875" cy="219075"/>
        </a:xfrm>
        <a:prstGeom prst="rect">
          <a:avLst/>
        </a:prstGeom>
        <a:solidFill>
          <a:srgbClr val="FFFF00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Ввод</a:t>
          </a:r>
        </a:p>
      </xdr:txBody>
    </xdr:sp>
    <xdr:clientData/>
  </xdr:twoCellAnchor>
  <xdr:twoCellAnchor>
    <xdr:from>
      <xdr:col>8</xdr:col>
      <xdr:colOff>19050</xdr:colOff>
      <xdr:row>3</xdr:row>
      <xdr:rowOff>95250</xdr:rowOff>
    </xdr:from>
    <xdr:to>
      <xdr:col>23</xdr:col>
      <xdr:colOff>19050</xdr:colOff>
      <xdr:row>5</xdr:row>
      <xdr:rowOff>38100</xdr:rowOff>
    </xdr:to>
    <xdr:sp>
      <xdr:nvSpPr>
        <xdr:cNvPr id="8" name="Текст 21"/>
        <xdr:cNvSpPr txBox="1">
          <a:spLocks noChangeArrowheads="1"/>
        </xdr:cNvSpPr>
      </xdr:nvSpPr>
      <xdr:spPr>
        <a:xfrm>
          <a:off x="2552700" y="390525"/>
          <a:ext cx="3781425" cy="228600"/>
        </a:xfrm>
        <a:prstGeom prst="rect">
          <a:avLst/>
        </a:prstGeom>
        <a:solidFill>
          <a:srgbClr val="00FF00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НОРМАТИВНЫЕ ПОКАЗАТЕЛИ ПШС-38,ПШП ПЛ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95250</xdr:rowOff>
    </xdr:from>
    <xdr:to>
      <xdr:col>1</xdr:col>
      <xdr:colOff>314325</xdr:colOff>
      <xdr:row>15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2085975"/>
          <a:ext cx="61912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Оценка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161925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0" y="180975"/>
        <a:ext cx="6334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</xdr:row>
      <xdr:rowOff>66675</xdr:rowOff>
    </xdr:from>
    <xdr:to>
      <xdr:col>10</xdr:col>
      <xdr:colOff>295275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581025" y="3924300"/>
        <a:ext cx="55340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0</xdr:row>
      <xdr:rowOff>180975</xdr:rowOff>
    </xdr:from>
    <xdr:to>
      <xdr:col>8</xdr:col>
      <xdr:colOff>561975</xdr:colOff>
      <xdr:row>1</xdr:row>
      <xdr:rowOff>190500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57300" y="180975"/>
          <a:ext cx="3943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ОПРЕДЕЛЕНИЕ И КОМПЕСАЦИЯ ДЕВИАЦИИ</a:t>
          </a:r>
        </a:p>
      </xdr:txBody>
    </xdr:sp>
    <xdr:clientData/>
  </xdr:twoCellAnchor>
  <xdr:twoCellAnchor>
    <xdr:from>
      <xdr:col>4</xdr:col>
      <xdr:colOff>95250</xdr:colOff>
      <xdr:row>44</xdr:row>
      <xdr:rowOff>114300</xdr:rowOff>
    </xdr:from>
    <xdr:to>
      <xdr:col>10</xdr:col>
      <xdr:colOff>342900</xdr:colOff>
      <xdr:row>51</xdr:row>
      <xdr:rowOff>152400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371725" y="6400800"/>
          <a:ext cx="3790950" cy="1181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1.Войсковая часть часть____________________
2.МК._____________номер__________________
3.Дата___________________________________
4.Определял______________________________
5.Оценка_________________________________
6.Ф-1_____________________________________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9.00390625" defaultRowHeight="12.75"/>
  <sheetData/>
  <printOptions gridLines="1"/>
  <pageMargins left="0.3937007874015748" right="0.7874015748031497" top="0.984251968503937" bottom="0.984251968503937" header="0.5118110236220472" footer="0.5118110236220472"/>
  <pageSetup horizontalDpi="120" verticalDpi="120" orientation="portrait" paperSize="9" r:id="rId3"/>
  <headerFooter alignWithMargins="0">
    <oddHeader>&amp;C&amp;A</oddHeader>
    <oddFooter>&amp;CСтр. &amp;P</oddFooter>
  </headerFooter>
  <legacyDrawing r:id="rId2"/>
  <oleObjects>
    <oleObject progId="Документ" shapeId="38126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14"/>
  <sheetViews>
    <sheetView tabSelected="1" workbookViewId="0" topLeftCell="A1">
      <selection activeCell="C13" sqref="C13"/>
    </sheetView>
  </sheetViews>
  <sheetFormatPr defaultColWidth="9.00390625" defaultRowHeight="9" customHeight="1"/>
  <cols>
    <col min="1" max="1" width="4.125" style="1" customWidth="1"/>
    <col min="2" max="2" width="4.375" style="1" customWidth="1"/>
    <col min="3" max="3" width="4.75390625" style="1" customWidth="1"/>
    <col min="4" max="4" width="4.375" style="1" customWidth="1"/>
    <col min="5" max="5" width="3.25390625" style="2" customWidth="1"/>
    <col min="6" max="6" width="3.25390625" style="1" customWidth="1"/>
    <col min="7" max="7" width="5.875" style="1" customWidth="1"/>
    <col min="8" max="14" width="3.25390625" style="1" customWidth="1"/>
    <col min="15" max="15" width="4.125" style="1" customWidth="1"/>
    <col min="16" max="29" width="3.25390625" style="1" customWidth="1"/>
    <col min="30" max="30" width="6.25390625" style="1" customWidth="1"/>
    <col min="31" max="31" width="6.125" style="1" customWidth="1"/>
    <col min="32" max="32" width="3.25390625" style="1" customWidth="1"/>
    <col min="33" max="33" width="4.25390625" style="1" customWidth="1"/>
    <col min="34" max="34" width="3.25390625" style="1" customWidth="1"/>
    <col min="35" max="35" width="4.75390625" style="1" customWidth="1"/>
    <col min="36" max="36" width="6.625" style="1" customWidth="1"/>
    <col min="37" max="37" width="6.875" style="1" customWidth="1"/>
    <col min="38" max="38" width="6.00390625" style="1" customWidth="1"/>
    <col min="39" max="39" width="6.125" style="1" customWidth="1"/>
    <col min="40" max="40" width="5.25390625" style="1" customWidth="1"/>
    <col min="41" max="16384" width="3.25390625" style="1" customWidth="1"/>
  </cols>
  <sheetData>
    <row r="1" ht="0.75" customHeight="1"/>
    <row r="2" spans="2:24" ht="11.25" customHeight="1">
      <c r="B2" s="58"/>
      <c r="C2" s="58"/>
      <c r="F2" s="57"/>
      <c r="G2" s="58"/>
      <c r="H2" s="58"/>
      <c r="I2" s="58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0</v>
      </c>
      <c r="X2" s="57"/>
    </row>
    <row r="3" spans="1:19" ht="11.25" customHeight="1" thickBot="1">
      <c r="A3" s="58"/>
      <c r="B3"/>
      <c r="C3"/>
      <c r="D3" s="58"/>
      <c r="F3" s="47"/>
      <c r="G3"/>
      <c r="H3" s="48"/>
      <c r="I3" s="48"/>
      <c r="J3" s="48"/>
      <c r="K3" s="48"/>
      <c r="L3" s="48"/>
      <c r="M3" s="48"/>
      <c r="N3" s="48"/>
      <c r="O3"/>
      <c r="P3"/>
      <c r="Q3"/>
      <c r="R3"/>
      <c r="S3"/>
    </row>
    <row r="4" spans="1:23" ht="11.25" customHeight="1" thickBot="1">
      <c r="A4" s="3" t="s">
        <v>1</v>
      </c>
      <c r="B4" s="4" t="s">
        <v>2</v>
      </c>
      <c r="C4" s="4" t="s">
        <v>3</v>
      </c>
      <c r="D4" s="5" t="s">
        <v>4</v>
      </c>
      <c r="F4" s="8">
        <v>0</v>
      </c>
      <c r="G4" s="64">
        <f>Расчеты!M4</f>
        <v>0.590615625</v>
      </c>
      <c r="H4" s="55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1.25" customHeight="1">
      <c r="A5" s="8"/>
      <c r="B5" s="126"/>
      <c r="C5" s="126"/>
      <c r="D5" s="67"/>
      <c r="F5" s="12">
        <v>15</v>
      </c>
      <c r="G5" s="65">
        <f>Расчеты!M5</f>
        <v>0.07837776545513209</v>
      </c>
      <c r="H5" s="5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1.25" customHeight="1" thickBot="1">
      <c r="A6" s="12" t="s">
        <v>5</v>
      </c>
      <c r="B6" s="127">
        <v>5</v>
      </c>
      <c r="C6" s="128">
        <v>3</v>
      </c>
      <c r="D6" s="154">
        <f>IF(ABS(A114)&gt;340,360-(B6-C6),B6-C6)</f>
        <v>2</v>
      </c>
      <c r="F6" s="12">
        <v>30</v>
      </c>
      <c r="G6" s="65">
        <f>Расчеты!M6</f>
        <v>-0.733326683943663</v>
      </c>
      <c r="H6" s="55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1.25" customHeight="1" thickBot="1">
      <c r="A7" s="16"/>
      <c r="B7" s="129"/>
      <c r="C7" s="130"/>
      <c r="D7" s="75"/>
      <c r="F7" s="12">
        <v>45</v>
      </c>
      <c r="G7" s="65">
        <f>Расчеты!M7</f>
        <v>-1.635277204743725</v>
      </c>
      <c r="H7" s="55"/>
      <c r="I7" s="50" t="s">
        <v>6</v>
      </c>
      <c r="J7"/>
      <c r="K7"/>
      <c r="L7" s="27" t="s">
        <v>7</v>
      </c>
      <c r="M7" s="133">
        <v>0.7</v>
      </c>
      <c r="N7" s="155" t="s">
        <v>8</v>
      </c>
      <c r="O7" s="135" t="s">
        <v>9</v>
      </c>
      <c r="P7" s="133">
        <v>0.7</v>
      </c>
      <c r="Q7" s="155" t="s">
        <v>10</v>
      </c>
      <c r="R7" s="136" t="s">
        <v>11</v>
      </c>
      <c r="S7" s="134"/>
      <c r="T7" s="134"/>
      <c r="U7" s="134"/>
      <c r="V7" s="134"/>
      <c r="W7" s="137"/>
    </row>
    <row r="8" spans="1:23" ht="11.25" customHeight="1">
      <c r="A8" s="8"/>
      <c r="B8" s="131"/>
      <c r="C8" s="132"/>
      <c r="D8" s="75"/>
      <c r="F8" s="12">
        <v>60</v>
      </c>
      <c r="G8" s="65">
        <f>Расчеты!M8</f>
        <v>-2.379602273537225</v>
      </c>
      <c r="H8" s="55"/>
      <c r="I8" s="27" t="s">
        <v>11</v>
      </c>
      <c r="J8" s="151">
        <v>0.6</v>
      </c>
      <c r="K8" s="7"/>
      <c r="L8" s="138" t="s">
        <v>12</v>
      </c>
      <c r="M8" s="139">
        <v>2</v>
      </c>
      <c r="N8" s="156" t="s">
        <v>8</v>
      </c>
      <c r="O8" s="140" t="s">
        <v>9</v>
      </c>
      <c r="P8" s="139">
        <v>2</v>
      </c>
      <c r="Q8" s="156" t="s">
        <v>10</v>
      </c>
      <c r="R8" s="141" t="s">
        <v>11</v>
      </c>
      <c r="S8" s="2"/>
      <c r="T8" s="2"/>
      <c r="U8" s="2"/>
      <c r="V8" s="2"/>
      <c r="W8" s="142"/>
    </row>
    <row r="9" spans="1:23" ht="11.25" customHeight="1">
      <c r="A9" s="12" t="s">
        <v>13</v>
      </c>
      <c r="B9" s="127">
        <v>45</v>
      </c>
      <c r="C9" s="128">
        <v>48</v>
      </c>
      <c r="D9" s="75">
        <f>SUM(B9,-C9)</f>
        <v>-3</v>
      </c>
      <c r="F9" s="12">
        <v>75</v>
      </c>
      <c r="G9" s="65">
        <f>Расчеты!M9</f>
        <v>-2.753242375531312</v>
      </c>
      <c r="H9"/>
      <c r="I9" s="138" t="s">
        <v>14</v>
      </c>
      <c r="J9" s="152">
        <v>0.8</v>
      </c>
      <c r="K9"/>
      <c r="L9" s="138" t="s">
        <v>15</v>
      </c>
      <c r="M9" s="139">
        <v>3</v>
      </c>
      <c r="N9" s="156" t="s">
        <v>8</v>
      </c>
      <c r="O9" s="143" t="s">
        <v>16</v>
      </c>
      <c r="P9" s="158" t="s">
        <v>8</v>
      </c>
      <c r="Q9" s="139">
        <v>2</v>
      </c>
      <c r="R9" s="156" t="s">
        <v>8</v>
      </c>
      <c r="S9" s="144" t="s">
        <v>14</v>
      </c>
      <c r="T9" s="156" t="s">
        <v>8</v>
      </c>
      <c r="U9" s="139">
        <v>1.5</v>
      </c>
      <c r="V9" s="156" t="s">
        <v>8</v>
      </c>
      <c r="W9" s="145" t="s">
        <v>11</v>
      </c>
    </row>
    <row r="10" spans="1:23" ht="11.25" customHeight="1" thickBot="1">
      <c r="A10" s="16"/>
      <c r="B10" s="129"/>
      <c r="C10" s="130"/>
      <c r="D10" s="75"/>
      <c r="F10" s="12">
        <v>90</v>
      </c>
      <c r="G10" s="65">
        <f>Расчеты!M10</f>
        <v>-2.629265625</v>
      </c>
      <c r="H10"/>
      <c r="I10" s="146" t="s">
        <v>16</v>
      </c>
      <c r="J10" s="153">
        <v>1.2</v>
      </c>
      <c r="K10"/>
      <c r="L10" s="146" t="s">
        <v>17</v>
      </c>
      <c r="M10" s="147">
        <v>3</v>
      </c>
      <c r="N10" s="157" t="s">
        <v>8</v>
      </c>
      <c r="O10" s="148" t="s">
        <v>16</v>
      </c>
      <c r="P10" s="159" t="s">
        <v>8</v>
      </c>
      <c r="Q10" s="147">
        <v>2</v>
      </c>
      <c r="R10" s="157" t="s">
        <v>8</v>
      </c>
      <c r="S10" s="149" t="s">
        <v>14</v>
      </c>
      <c r="T10" s="157" t="s">
        <v>8</v>
      </c>
      <c r="U10" s="147">
        <v>1.5</v>
      </c>
      <c r="V10" s="157" t="s">
        <v>8</v>
      </c>
      <c r="W10" s="150" t="s">
        <v>11</v>
      </c>
    </row>
    <row r="11" spans="1:21" ht="11.25" customHeight="1">
      <c r="A11" s="8"/>
      <c r="B11" s="131"/>
      <c r="C11" s="132"/>
      <c r="D11" s="75"/>
      <c r="F11" s="12">
        <v>105</v>
      </c>
      <c r="G11" s="65">
        <f>Расчеты!M11</f>
        <v>-2.0048534602182997</v>
      </c>
      <c r="H11" s="55"/>
      <c r="I11"/>
      <c r="J11"/>
      <c r="K11"/>
      <c r="L11"/>
      <c r="M11"/>
      <c r="N11"/>
      <c r="O11"/>
      <c r="P11"/>
      <c r="Q11"/>
      <c r="R11"/>
      <c r="S11"/>
      <c r="U11" s="7"/>
    </row>
    <row r="12" spans="1:22" ht="11.25" customHeight="1">
      <c r="A12" s="12" t="s">
        <v>18</v>
      </c>
      <c r="B12" s="127">
        <v>90</v>
      </c>
      <c r="C12" s="128">
        <v>92</v>
      </c>
      <c r="D12" s="75">
        <f>SUM(B12,-C12)</f>
        <v>-2</v>
      </c>
      <c r="F12" s="12">
        <v>120</v>
      </c>
      <c r="G12" s="65">
        <f>Расчеты!M12</f>
        <v>-1.0089967965729811</v>
      </c>
      <c r="H12" s="55"/>
      <c r="I12"/>
      <c r="J12"/>
      <c r="K12"/>
      <c r="L12"/>
      <c r="M12"/>
      <c r="N12"/>
      <c r="O12"/>
      <c r="P12"/>
      <c r="Q12"/>
      <c r="R12"/>
      <c r="S12"/>
      <c r="V12" s="7"/>
    </row>
    <row r="13" spans="1:26" ht="11.25" customHeight="1" thickBot="1">
      <c r="A13" s="16"/>
      <c r="B13" s="129"/>
      <c r="C13" s="130"/>
      <c r="D13" s="75"/>
      <c r="F13" s="12">
        <v>135</v>
      </c>
      <c r="G13" s="65">
        <f>Расчеты!M13</f>
        <v>0.13556240890414323</v>
      </c>
      <c r="H13" s="5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8" ht="11.25" customHeight="1">
      <c r="A14" s="8"/>
      <c r="B14" s="131"/>
      <c r="C14" s="132"/>
      <c r="D14" s="75"/>
      <c r="F14" s="12">
        <v>150</v>
      </c>
      <c r="G14" s="65">
        <f>Расчеты!M14</f>
        <v>1.1656573579929155</v>
      </c>
      <c r="H14" s="55"/>
    </row>
    <row r="15" spans="1:8" ht="11.25" customHeight="1">
      <c r="A15" s="12" t="s">
        <v>19</v>
      </c>
      <c r="B15" s="127">
        <v>135</v>
      </c>
      <c r="C15" s="128">
        <v>134.5</v>
      </c>
      <c r="D15" s="75">
        <f>SUM(B15,-C15)</f>
        <v>0.5</v>
      </c>
      <c r="F15" s="12">
        <v>165</v>
      </c>
      <c r="G15" s="65">
        <f>Расчеты!M15</f>
        <v>1.847656211605345</v>
      </c>
      <c r="H15" s="55"/>
    </row>
    <row r="16" spans="1:8" ht="11.25" customHeight="1" thickBot="1">
      <c r="A16" s="16"/>
      <c r="B16" s="129"/>
      <c r="C16" s="130"/>
      <c r="D16" s="75"/>
      <c r="F16" s="46">
        <v>180</v>
      </c>
      <c r="G16" s="65">
        <f>Расчеты!P4</f>
        <v>2.034384375</v>
      </c>
      <c r="H16"/>
    </row>
    <row r="17" spans="1:10" ht="11.25" customHeight="1">
      <c r="A17" s="8"/>
      <c r="B17" s="131"/>
      <c r="C17" s="132"/>
      <c r="D17" s="75"/>
      <c r="F17" s="46">
        <v>195</v>
      </c>
      <c r="G17" s="65">
        <f>Расчеты!P5</f>
        <v>1.7015735114835244</v>
      </c>
      <c r="H17"/>
      <c r="I17"/>
      <c r="J17"/>
    </row>
    <row r="18" spans="1:23" ht="11.25" customHeight="1">
      <c r="A18" s="12" t="s">
        <v>20</v>
      </c>
      <c r="B18" s="127">
        <v>180</v>
      </c>
      <c r="C18" s="128">
        <v>179</v>
      </c>
      <c r="D18" s="75">
        <f>SUM(B18,-C18)</f>
        <v>1</v>
      </c>
      <c r="F18" s="46">
        <v>210</v>
      </c>
      <c r="G18" s="65">
        <f>Расчеты!P6</f>
        <v>0.9578980559408792</v>
      </c>
      <c r="H18"/>
      <c r="I18"/>
      <c r="J18"/>
      <c r="L18"/>
      <c r="M18"/>
      <c r="N18"/>
      <c r="O18"/>
      <c r="P18"/>
      <c r="Q18"/>
      <c r="R18"/>
      <c r="S18"/>
      <c r="T18"/>
      <c r="U18"/>
      <c r="V18"/>
      <c r="W18"/>
    </row>
    <row r="19" spans="1:23" ht="11.25" customHeight="1" thickBot="1">
      <c r="A19" s="16"/>
      <c r="B19" s="129"/>
      <c r="C19" s="130"/>
      <c r="D19" s="75"/>
      <c r="F19" s="46">
        <v>225</v>
      </c>
      <c r="G19" s="65">
        <f>Расчеты!P7</f>
        <v>0.010277204743724955</v>
      </c>
      <c r="H19"/>
      <c r="I19"/>
      <c r="J19"/>
      <c r="L19"/>
      <c r="M19"/>
      <c r="N19"/>
      <c r="O19"/>
      <c r="P19"/>
      <c r="Q19"/>
      <c r="R19"/>
      <c r="S19"/>
      <c r="T19"/>
      <c r="U19"/>
      <c r="V19"/>
      <c r="W19"/>
    </row>
    <row r="20" spans="1:23" ht="11.25" customHeight="1">
      <c r="A20" s="8"/>
      <c r="B20" s="131"/>
      <c r="C20" s="132"/>
      <c r="D20" s="75"/>
      <c r="F20" s="46">
        <v>240</v>
      </c>
      <c r="G20" s="65">
        <f>Расчеты!P8</f>
        <v>-0.8934086276514193</v>
      </c>
      <c r="H20"/>
      <c r="I20"/>
      <c r="J20"/>
      <c r="L20"/>
      <c r="M20"/>
      <c r="N20"/>
      <c r="O20"/>
      <c r="P20"/>
      <c r="Q20"/>
      <c r="R20"/>
      <c r="S20"/>
      <c r="T20"/>
      <c r="U20"/>
      <c r="V20"/>
      <c r="W20"/>
    </row>
    <row r="21" spans="1:23" ht="11.25" customHeight="1">
      <c r="A21" s="12" t="s">
        <v>21</v>
      </c>
      <c r="B21" s="127">
        <v>225</v>
      </c>
      <c r="C21" s="128">
        <v>224</v>
      </c>
      <c r="D21" s="75">
        <f>SUM(B21,-C21)</f>
        <v>1</v>
      </c>
      <c r="F21" s="46">
        <v>255</v>
      </c>
      <c r="G21" s="65">
        <f>Расчеты!P9</f>
        <v>-1.526190817090029</v>
      </c>
      <c r="H21"/>
      <c r="I21"/>
      <c r="J21"/>
      <c r="L21"/>
      <c r="M21"/>
      <c r="N21"/>
      <c r="O21"/>
      <c r="P21"/>
      <c r="Q21"/>
      <c r="R21"/>
      <c r="S21"/>
      <c r="T21"/>
      <c r="U21"/>
      <c r="V21"/>
      <c r="W21"/>
    </row>
    <row r="22" spans="1:23" ht="11.25" customHeight="1" thickBot="1">
      <c r="A22" s="16"/>
      <c r="B22" s="129"/>
      <c r="C22" s="130"/>
      <c r="D22" s="75"/>
      <c r="F22" s="46">
        <v>270</v>
      </c>
      <c r="G22" s="65">
        <f>Расчеты!P10</f>
        <v>-1.745734375</v>
      </c>
      <c r="H22"/>
      <c r="I22"/>
      <c r="J22"/>
      <c r="L22"/>
      <c r="M22"/>
      <c r="N22"/>
      <c r="O22"/>
      <c r="P22"/>
      <c r="Q22"/>
      <c r="R22"/>
      <c r="S22"/>
      <c r="T22"/>
      <c r="U22"/>
      <c r="V22"/>
      <c r="W22"/>
    </row>
    <row r="23" spans="1:21" ht="11.25" customHeight="1">
      <c r="A23" s="8"/>
      <c r="B23" s="131"/>
      <c r="C23" s="132"/>
      <c r="D23" s="75"/>
      <c r="F23" s="46">
        <v>285</v>
      </c>
      <c r="G23" s="65">
        <f>Расчеты!P11</f>
        <v>-1.5250978167203568</v>
      </c>
      <c r="H23"/>
      <c r="J23"/>
      <c r="K23"/>
      <c r="L23"/>
      <c r="M23"/>
      <c r="N23"/>
      <c r="O23"/>
      <c r="P23"/>
      <c r="Q23"/>
      <c r="R23"/>
      <c r="S23"/>
      <c r="T23"/>
      <c r="U23"/>
    </row>
    <row r="24" spans="1:21" ht="11.25" customHeight="1">
      <c r="A24" s="12" t="s">
        <v>22</v>
      </c>
      <c r="B24" s="127">
        <v>270</v>
      </c>
      <c r="C24" s="128">
        <v>272</v>
      </c>
      <c r="D24" s="75">
        <f>SUM(B24,-C24)</f>
        <v>-2</v>
      </c>
      <c r="F24" s="46">
        <v>300</v>
      </c>
      <c r="G24" s="65">
        <f>Расчеты!P12</f>
        <v>-0.965574575424235</v>
      </c>
      <c r="H24"/>
      <c r="J24"/>
      <c r="K24"/>
      <c r="L24"/>
      <c r="M24"/>
      <c r="N24"/>
      <c r="O24"/>
      <c r="P24"/>
      <c r="Q24"/>
      <c r="R24"/>
      <c r="S24"/>
      <c r="T24"/>
      <c r="U24"/>
    </row>
    <row r="25" spans="1:21" ht="11.25" customHeight="1" thickBot="1">
      <c r="A25" s="16"/>
      <c r="B25" s="129"/>
      <c r="C25" s="130"/>
      <c r="D25" s="75"/>
      <c r="F25" s="46">
        <v>315</v>
      </c>
      <c r="G25" s="65">
        <f>Расчеты!P13</f>
        <v>-0.26056240890414323</v>
      </c>
      <c r="H25"/>
      <c r="J25"/>
      <c r="K25"/>
      <c r="L25"/>
      <c r="M25"/>
      <c r="N25"/>
      <c r="O25"/>
      <c r="P25"/>
      <c r="Q25"/>
      <c r="R25"/>
      <c r="S25"/>
      <c r="T25"/>
      <c r="U25"/>
    </row>
    <row r="26" spans="1:21" ht="11.25" customHeight="1">
      <c r="A26" s="8"/>
      <c r="B26" s="131"/>
      <c r="C26" s="132"/>
      <c r="D26" s="75"/>
      <c r="F26" s="46">
        <v>330</v>
      </c>
      <c r="G26" s="65">
        <f>Расчеты!P14</f>
        <v>0.35735354319572893</v>
      </c>
      <c r="H26"/>
      <c r="J26"/>
      <c r="K26"/>
      <c r="L26"/>
      <c r="M26"/>
      <c r="N26"/>
      <c r="O26"/>
      <c r="P26"/>
      <c r="Q26"/>
      <c r="R26"/>
      <c r="S26"/>
      <c r="T26"/>
      <c r="U26"/>
    </row>
    <row r="27" spans="1:23" ht="11.25" customHeight="1">
      <c r="A27" s="12" t="s">
        <v>23</v>
      </c>
      <c r="B27" s="127">
        <v>315</v>
      </c>
      <c r="C27" s="128">
        <v>316</v>
      </c>
      <c r="D27" s="75">
        <f>SUM(B27,-C27)</f>
        <v>-1</v>
      </c>
      <c r="F27" s="46">
        <v>345</v>
      </c>
      <c r="G27" s="65">
        <f>Расчеты!P15</f>
        <v>0.6817769810159962</v>
      </c>
      <c r="H27"/>
      <c r="I27"/>
      <c r="J27"/>
      <c r="L27"/>
      <c r="M27"/>
      <c r="N27"/>
      <c r="O27"/>
      <c r="P27"/>
      <c r="Q27"/>
      <c r="R27"/>
      <c r="S27"/>
      <c r="T27"/>
      <c r="U27"/>
      <c r="V27"/>
      <c r="W27"/>
    </row>
    <row r="28" spans="1:23" ht="11.25" customHeight="1" thickBot="1">
      <c r="A28" s="16"/>
      <c r="B28" s="129"/>
      <c r="C28" s="130"/>
      <c r="D28" s="69"/>
      <c r="F28" s="16">
        <v>360</v>
      </c>
      <c r="G28" s="66">
        <f>Расчеты!M4</f>
        <v>0.590615625</v>
      </c>
      <c r="H28"/>
      <c r="I28"/>
      <c r="J28"/>
      <c r="L28"/>
      <c r="M28"/>
      <c r="N28"/>
      <c r="O28"/>
      <c r="P28"/>
      <c r="Q28"/>
      <c r="R28"/>
      <c r="S28"/>
      <c r="T28"/>
      <c r="U28"/>
      <c r="V28"/>
      <c r="W28"/>
    </row>
    <row r="29" spans="7:41" ht="9" customHeight="1">
      <c r="G29" s="7"/>
      <c r="H29" s="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25" ht="9" customHeight="1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P30"/>
      <c r="Q30"/>
      <c r="R30"/>
      <c r="S30"/>
      <c r="T30"/>
      <c r="U30"/>
      <c r="V30"/>
      <c r="W30"/>
      <c r="X30"/>
      <c r="Y30"/>
    </row>
    <row r="31" spans="1:25" ht="9" customHeight="1">
      <c r="A31"/>
      <c r="B31"/>
      <c r="C31"/>
      <c r="D31"/>
      <c r="E31"/>
      <c r="F31"/>
      <c r="G31"/>
      <c r="H31"/>
      <c r="I31"/>
      <c r="J31"/>
      <c r="K31"/>
      <c r="L31"/>
      <c r="N31"/>
      <c r="O31"/>
      <c r="P31"/>
      <c r="Q31"/>
      <c r="R31"/>
      <c r="S31"/>
      <c r="T31"/>
      <c r="U31"/>
      <c r="V31"/>
      <c r="W31"/>
      <c r="X31"/>
      <c r="Y31"/>
    </row>
    <row r="32" spans="5:25" ht="9" customHeight="1">
      <c r="E32" s="1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9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7" ht="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9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9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9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9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9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9" customHeight="1">
      <c r="A47"/>
      <c r="B47"/>
      <c r="C47"/>
      <c r="E47" s="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9" customHeight="1">
      <c r="A48"/>
      <c r="B48"/>
      <c r="C48"/>
      <c r="E48" s="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9" customHeight="1">
      <c r="A49"/>
      <c r="B49"/>
      <c r="C49"/>
      <c r="E49" s="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2:43" ht="9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2:43" ht="9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2:43" ht="9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2:43" ht="9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2:43" ht="9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2:43" ht="9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2:43" ht="9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2:43" ht="9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2:48" ht="9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2:48" ht="9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2:48" ht="9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2:48" ht="9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2:48" ht="9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2:48" ht="9" customHeight="1">
      <c r="B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2:48" ht="9" customHeight="1">
      <c r="B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3:48" ht="9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3:48" ht="9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3:48" ht="9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5:48" ht="9" customHeight="1">
      <c r="E68" s="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5:48" ht="9" customHeight="1">
      <c r="E69" s="1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5:48" ht="9" customHeight="1">
      <c r="E70" s="1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5:48" ht="9" customHeight="1">
      <c r="E71" s="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5:48" ht="9" customHeight="1">
      <c r="E72" s="1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5:48" ht="9" customHeight="1">
      <c r="E73" s="1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ht="9" customHeight="1">
      <c r="E74" s="1"/>
    </row>
    <row r="75" ht="9" customHeight="1">
      <c r="E75" s="1"/>
    </row>
    <row r="114" ht="9" customHeight="1">
      <c r="A114" s="75">
        <f>SUM(B6,-C6)</f>
        <v>2</v>
      </c>
    </row>
  </sheetData>
  <printOptions gridLines="1"/>
  <pageMargins left="0" right="0" top="0" bottom="0" header="0" footer="0"/>
  <pageSetup fitToHeight="3" fitToWidth="3" horizontalDpi="120" verticalDpi="120" orientation="portrait" paperSize="9" r:id="rId2"/>
  <headerFooter alignWithMargins="0">
    <oddHeader>&amp;C&amp;A</oddHeader>
    <oddFooter>&amp;CСтр.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17" sqref="B17"/>
    </sheetView>
  </sheetViews>
  <sheetFormatPr defaultColWidth="9.00390625" defaultRowHeight="10.5" customHeight="1"/>
  <cols>
    <col min="1" max="1" width="4.00390625" style="0" customWidth="1"/>
    <col min="2" max="2" width="4.75390625" style="0" customWidth="1"/>
    <col min="3" max="3" width="4.125" style="0" customWidth="1"/>
    <col min="4" max="4" width="4.25390625" style="0" customWidth="1"/>
    <col min="5" max="5" width="5.375" style="0" customWidth="1"/>
    <col min="6" max="6" width="4.875" style="0" customWidth="1"/>
    <col min="7" max="7" width="5.625" style="0" customWidth="1"/>
    <col min="8" max="8" width="5.375" style="0" customWidth="1"/>
    <col min="9" max="9" width="5.00390625" style="0" customWidth="1"/>
    <col min="10" max="10" width="4.875" style="0" customWidth="1"/>
    <col min="11" max="12" width="6.75390625" style="0" customWidth="1"/>
    <col min="13" max="13" width="6.625" style="0" customWidth="1"/>
    <col min="14" max="14" width="5.375" style="0" customWidth="1"/>
    <col min="15" max="15" width="4.875" style="0" customWidth="1"/>
    <col min="16" max="16384" width="5.75390625" style="0" customWidth="1"/>
  </cols>
  <sheetData>
    <row r="1" spans="1:16" ht="16.5" customHeight="1" thickBot="1">
      <c r="A1" s="6" t="s">
        <v>1</v>
      </c>
      <c r="B1" s="6">
        <v>1</v>
      </c>
      <c r="C1" s="6" t="s">
        <v>1</v>
      </c>
      <c r="D1" s="6">
        <v>2</v>
      </c>
      <c r="E1" s="6">
        <v>3</v>
      </c>
      <c r="F1" s="6">
        <v>4</v>
      </c>
      <c r="G1" s="6" t="s">
        <v>24</v>
      </c>
      <c r="H1" s="6">
        <v>5</v>
      </c>
      <c r="I1" s="6" t="s">
        <v>24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1"/>
      <c r="P1" s="1"/>
    </row>
    <row r="2" spans="1:16" ht="14.25" customHeight="1" thickBot="1">
      <c r="A2" s="9"/>
      <c r="B2" s="10" t="s">
        <v>4</v>
      </c>
      <c r="C2" s="9"/>
      <c r="D2" s="10" t="s">
        <v>4</v>
      </c>
      <c r="E2" s="11" t="s">
        <v>25</v>
      </c>
      <c r="F2" s="11" t="s">
        <v>26</v>
      </c>
      <c r="G2" s="9"/>
      <c r="H2" s="11" t="s">
        <v>27</v>
      </c>
      <c r="I2" s="9"/>
      <c r="J2" s="11" t="s">
        <v>27</v>
      </c>
      <c r="K2" s="11" t="s">
        <v>28</v>
      </c>
      <c r="L2" s="11" t="s">
        <v>29</v>
      </c>
      <c r="M2" s="11" t="s">
        <v>30</v>
      </c>
      <c r="N2" s="11" t="s">
        <v>31</v>
      </c>
      <c r="O2" s="1"/>
      <c r="P2" s="1"/>
    </row>
    <row r="3" spans="1:16" ht="10.5" customHeight="1">
      <c r="A3" s="13"/>
      <c r="B3" s="14"/>
      <c r="C3" s="13"/>
      <c r="D3" s="14"/>
      <c r="E3" s="15"/>
      <c r="F3" s="15"/>
      <c r="G3" s="15"/>
      <c r="H3" s="15"/>
      <c r="I3" s="15"/>
      <c r="J3" s="15"/>
      <c r="K3" s="15"/>
      <c r="L3" s="15"/>
      <c r="M3" s="15"/>
      <c r="N3" s="14"/>
      <c r="O3" s="1"/>
      <c r="P3" s="56"/>
    </row>
    <row r="4" spans="1:16" ht="10.5" customHeight="1">
      <c r="A4" s="17" t="s">
        <v>5</v>
      </c>
      <c r="B4" s="18">
        <f>Ввод!D6</f>
        <v>2</v>
      </c>
      <c r="C4" s="17" t="s">
        <v>20</v>
      </c>
      <c r="D4" s="18">
        <f>Ввод!D18</f>
        <v>1</v>
      </c>
      <c r="E4" s="19">
        <f>0.5*(B4+D4)</f>
        <v>1.5</v>
      </c>
      <c r="F4" s="19">
        <f>0.5*(B4-D4)</f>
        <v>0.5</v>
      </c>
      <c r="G4" s="19">
        <v>0</v>
      </c>
      <c r="H4" s="19">
        <f>G4*F4</f>
        <v>0</v>
      </c>
      <c r="I4" s="19">
        <v>1</v>
      </c>
      <c r="J4" s="49">
        <f>I4*F4</f>
        <v>0.5</v>
      </c>
      <c r="K4" s="19">
        <f>0.5*(B4+D4)</f>
        <v>1.5</v>
      </c>
      <c r="L4" s="19">
        <f>0.5*(B10+D10)</f>
        <v>-2</v>
      </c>
      <c r="M4" s="19">
        <f>0.5*(K4+L4)</f>
        <v>-0.25</v>
      </c>
      <c r="N4" s="63">
        <f>0.5*(K4-L4)</f>
        <v>1.75</v>
      </c>
      <c r="O4" s="1" t="s">
        <v>32</v>
      </c>
      <c r="P4" s="1"/>
    </row>
    <row r="5" spans="1:16" ht="10.5" customHeight="1" thickBot="1">
      <c r="A5" s="21"/>
      <c r="B5" s="22"/>
      <c r="C5" s="21"/>
      <c r="D5" s="22"/>
      <c r="E5" s="23"/>
      <c r="F5" s="23"/>
      <c r="G5" s="23"/>
      <c r="H5" s="23"/>
      <c r="I5" s="23"/>
      <c r="J5" s="23"/>
      <c r="K5" s="23"/>
      <c r="L5" s="23"/>
      <c r="M5" s="23"/>
      <c r="N5" s="22"/>
      <c r="O5" s="1"/>
      <c r="P5" s="1"/>
    </row>
    <row r="6" spans="1:16" ht="10.5" customHeight="1">
      <c r="A6" s="17"/>
      <c r="B6" s="18"/>
      <c r="C6" s="17"/>
      <c r="D6" s="18"/>
      <c r="E6" s="19"/>
      <c r="F6" s="19"/>
      <c r="G6" s="19"/>
      <c r="H6" s="19"/>
      <c r="I6" s="19"/>
      <c r="J6" s="19"/>
      <c r="K6" s="15"/>
      <c r="L6" s="15"/>
      <c r="M6" s="15"/>
      <c r="N6" s="14"/>
      <c r="O6" s="1"/>
      <c r="P6" s="1"/>
    </row>
    <row r="7" spans="1:16" ht="10.5" customHeight="1">
      <c r="A7" s="17" t="s">
        <v>13</v>
      </c>
      <c r="B7" s="18">
        <f>Ввод!D9</f>
        <v>-3</v>
      </c>
      <c r="C7" s="17" t="s">
        <v>21</v>
      </c>
      <c r="D7" s="18">
        <f>Ввод!D21</f>
        <v>1</v>
      </c>
      <c r="E7" s="19">
        <f>0.5*(B7+D7)</f>
        <v>-1</v>
      </c>
      <c r="F7" s="19">
        <f>0.5*(B7-D7)</f>
        <v>-2</v>
      </c>
      <c r="G7" s="19">
        <v>0.706825</v>
      </c>
      <c r="H7" s="49">
        <f>G7*F7</f>
        <v>-1.41365</v>
      </c>
      <c r="I7" s="19">
        <v>0.706825</v>
      </c>
      <c r="J7" s="49">
        <f>F7*I7</f>
        <v>-1.41365</v>
      </c>
      <c r="K7" s="19">
        <f>0.5*(B7+D7)</f>
        <v>-1</v>
      </c>
      <c r="L7" s="19">
        <f>0.5*(B13+D13)</f>
        <v>-0.25</v>
      </c>
      <c r="M7" s="19">
        <f>0.5*(K7+L7)</f>
        <v>-0.625</v>
      </c>
      <c r="N7" s="63">
        <f>0.5*(K7-L7)</f>
        <v>-0.375</v>
      </c>
      <c r="O7" s="1" t="s">
        <v>33</v>
      </c>
      <c r="P7" s="1"/>
    </row>
    <row r="8" spans="1:16" ht="10.5" customHeight="1" thickBot="1">
      <c r="A8" s="21"/>
      <c r="B8" s="22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2"/>
      <c r="O8" s="1"/>
      <c r="P8" s="1"/>
    </row>
    <row r="9" spans="1:16" ht="10.5" customHeight="1">
      <c r="A9" s="13"/>
      <c r="B9" s="14"/>
      <c r="C9" s="13"/>
      <c r="D9" s="14"/>
      <c r="E9" s="15"/>
      <c r="F9" s="15"/>
      <c r="G9" s="15" t="s">
        <v>34</v>
      </c>
      <c r="H9" s="15"/>
      <c r="I9" s="15"/>
      <c r="J9" s="15"/>
      <c r="K9" s="2"/>
      <c r="L9" s="2"/>
      <c r="M9" s="15"/>
      <c r="N9" s="2"/>
      <c r="O9" s="1"/>
      <c r="P9" s="1"/>
    </row>
    <row r="10" spans="1:15" ht="10.5" customHeight="1">
      <c r="A10" s="17" t="s">
        <v>18</v>
      </c>
      <c r="B10" s="18">
        <f>Ввод!D12</f>
        <v>-2</v>
      </c>
      <c r="C10" s="17" t="s">
        <v>22</v>
      </c>
      <c r="D10" s="18">
        <f>Ввод!D24</f>
        <v>-2</v>
      </c>
      <c r="E10" s="19">
        <f>0.5*(B10+D10)</f>
        <v>-2</v>
      </c>
      <c r="F10" s="19">
        <f>0.5*(B10-D10)</f>
        <v>0</v>
      </c>
      <c r="G10" s="19">
        <v>1</v>
      </c>
      <c r="H10" s="49">
        <f>G10*F10</f>
        <v>0</v>
      </c>
      <c r="I10" s="19">
        <v>0</v>
      </c>
      <c r="J10" s="49">
        <f>I10*F10</f>
        <v>0</v>
      </c>
      <c r="K10" s="2"/>
      <c r="L10" s="2" t="s">
        <v>35</v>
      </c>
      <c r="M10" s="19">
        <f>M4+M7</f>
        <v>-0.875</v>
      </c>
      <c r="N10" s="2"/>
      <c r="O10" s="1"/>
    </row>
    <row r="11" spans="1:15" ht="10.5" customHeight="1" thickBot="1">
      <c r="A11" s="21"/>
      <c r="B11" s="22"/>
      <c r="C11" s="21"/>
      <c r="D11" s="22"/>
      <c r="E11" s="23"/>
      <c r="F11" s="23"/>
      <c r="G11" s="23"/>
      <c r="H11" s="23"/>
      <c r="I11" s="23"/>
      <c r="J11" s="23"/>
      <c r="K11" s="2"/>
      <c r="L11" s="2"/>
      <c r="M11" s="23"/>
      <c r="N11" s="2"/>
      <c r="O11" s="1"/>
    </row>
    <row r="12" spans="1:15" ht="10.5" customHeight="1">
      <c r="A12" s="13"/>
      <c r="B12" s="14"/>
      <c r="C12" s="13"/>
      <c r="D12" s="14"/>
      <c r="E12" s="15"/>
      <c r="F12" s="15"/>
      <c r="G12" s="15"/>
      <c r="H12" s="15"/>
      <c r="I12" s="15"/>
      <c r="J12" s="15"/>
      <c r="K12" s="2"/>
      <c r="L12" s="2"/>
      <c r="M12" s="14"/>
      <c r="N12" s="2"/>
      <c r="O12" s="1"/>
    </row>
    <row r="13" spans="1:14" ht="10.5" customHeight="1">
      <c r="A13" s="17" t="s">
        <v>19</v>
      </c>
      <c r="B13" s="18">
        <f>Ввод!D15</f>
        <v>0.5</v>
      </c>
      <c r="C13" s="17" t="s">
        <v>23</v>
      </c>
      <c r="D13" s="18">
        <f>Ввод!D27</f>
        <v>-1</v>
      </c>
      <c r="E13" s="19">
        <f>0.5*(B13+D13)</f>
        <v>-0.25</v>
      </c>
      <c r="F13" s="19">
        <f>0.5*(B13-D13)</f>
        <v>0.75</v>
      </c>
      <c r="G13" s="19">
        <v>0.706825</v>
      </c>
      <c r="H13" s="49">
        <f>G13*F13</f>
        <v>0.53011875</v>
      </c>
      <c r="I13" s="49">
        <v>-0.706825</v>
      </c>
      <c r="J13" s="19">
        <f>I13*F13</f>
        <v>-0.53011875</v>
      </c>
      <c r="K13" s="2"/>
      <c r="L13" s="2"/>
      <c r="M13" s="63">
        <f>0.5*M10</f>
        <v>-0.4375</v>
      </c>
      <c r="N13" s="2" t="s">
        <v>36</v>
      </c>
    </row>
    <row r="14" spans="1:14" ht="10.5" customHeight="1" thickBot="1">
      <c r="A14" s="21"/>
      <c r="B14" s="22"/>
      <c r="C14" s="21"/>
      <c r="D14" s="22"/>
      <c r="E14" s="23"/>
      <c r="F14" s="23"/>
      <c r="G14" s="23"/>
      <c r="H14" s="23"/>
      <c r="I14" s="23"/>
      <c r="J14" s="23"/>
      <c r="K14" s="2"/>
      <c r="L14" s="2"/>
      <c r="M14" s="22"/>
      <c r="N14" s="2"/>
    </row>
    <row r="15" spans="1:14" ht="10.5" customHeight="1">
      <c r="A15" s="1"/>
      <c r="B15" s="1"/>
      <c r="C15" s="1"/>
      <c r="D15" s="1"/>
      <c r="E15" s="1"/>
      <c r="F15" s="1"/>
      <c r="G15" s="1"/>
      <c r="H15" s="15"/>
      <c r="I15" s="1"/>
      <c r="J15" s="15"/>
      <c r="K15" s="1"/>
      <c r="L15" s="1"/>
      <c r="M15" s="1"/>
      <c r="N15" s="1"/>
    </row>
    <row r="16" spans="1:14" ht="10.5" customHeight="1" thickBot="1">
      <c r="A16" s="1"/>
      <c r="B16" s="1"/>
      <c r="C16" s="1"/>
      <c r="D16" s="1"/>
      <c r="E16" s="1"/>
      <c r="G16" s="1" t="s">
        <v>37</v>
      </c>
      <c r="H16" s="49">
        <f>H4+H7+H10+H13</f>
        <v>-0.8835312500000001</v>
      </c>
      <c r="I16" s="1"/>
      <c r="J16" s="49">
        <f>J4+J7+J10+J13</f>
        <v>-1.44376875</v>
      </c>
      <c r="K16" s="1" t="s">
        <v>35</v>
      </c>
      <c r="L16" s="1"/>
      <c r="M16" s="1"/>
      <c r="N16" s="1"/>
    </row>
    <row r="17" spans="1:14" ht="10.5" customHeight="1" thickBot="1">
      <c r="A17" s="77" t="s">
        <v>38</v>
      </c>
      <c r="B17" s="80" t="str">
        <f>IF(ABS(M13)&lt;Ввод!M7,"отл","неуд")</f>
        <v>отл</v>
      </c>
      <c r="C17" s="1"/>
      <c r="D17" s="1"/>
      <c r="E17" s="1"/>
      <c r="F17" s="1"/>
      <c r="G17" s="1"/>
      <c r="H17" s="23"/>
      <c r="I17" s="1"/>
      <c r="J17" s="23"/>
      <c r="K17" s="1"/>
      <c r="L17" s="20"/>
      <c r="M17" s="1"/>
      <c r="N17" s="1"/>
    </row>
    <row r="18" spans="1:10" ht="10.5" customHeight="1">
      <c r="A18" s="78" t="s">
        <v>39</v>
      </c>
      <c r="B18" s="81" t="str">
        <f>IF(ABS(N7)&lt;Ввод!M8,"отл","неуд")</f>
        <v>отл</v>
      </c>
      <c r="H18" s="14"/>
      <c r="J18" s="14"/>
    </row>
    <row r="19" spans="1:11" ht="10.5" customHeight="1">
      <c r="A19" s="78" t="s">
        <v>40</v>
      </c>
      <c r="B19" s="82" t="str">
        <f>IF(ABS(H19)&gt;Ввод!M9,"неуд",IF(ABS(H19)&gt;Ввод!Q9,"уд",IF(ABS(H19)&gt;Ввод!U9,"хор",IF(ABS(H19)&lt;=Ввод!U9,"отл"))))</f>
        <v>отл</v>
      </c>
      <c r="D19" s="84"/>
      <c r="G19" s="50" t="s">
        <v>41</v>
      </c>
      <c r="H19" s="63">
        <f>0.5*(H16)</f>
        <v>-0.44176562500000005</v>
      </c>
      <c r="J19" s="63">
        <f>0.5*(J16)</f>
        <v>-0.721884375</v>
      </c>
      <c r="K19" s="51" t="s">
        <v>42</v>
      </c>
    </row>
    <row r="20" spans="1:10" ht="10.5" customHeight="1" thickBot="1">
      <c r="A20" s="79" t="s">
        <v>43</v>
      </c>
      <c r="B20" s="83" t="str">
        <f>IF(ABS(J19)&gt;Ввод!M10,"неуд",IF(ABS(J19)&gt;Ввод!Q10,"уд",IF(ABS(J19)&gt;Ввод!U10,"хор",IF(ABS(J19)&lt;=Ввод!U10,"отл"))))</f>
        <v>отл</v>
      </c>
      <c r="H20" s="22"/>
      <c r="J20" s="22"/>
    </row>
  </sheetData>
  <printOptions gridLines="1"/>
  <pageMargins left="0.75" right="0.75" top="1" bottom="1" header="0.5" footer="0.5"/>
  <pageSetup horizontalDpi="120" verticalDpi="120" orientation="portrait" r:id="rId2"/>
  <headerFooter alignWithMargins="0">
    <oddHeader>&amp;C&amp;A</oddHeader>
    <oddFooter>&amp;CСтр.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H8" sqref="H8"/>
    </sheetView>
  </sheetViews>
  <sheetFormatPr defaultColWidth="9.00390625" defaultRowHeight="16.5" customHeight="1"/>
  <cols>
    <col min="1" max="13" width="4.75390625" style="0" customWidth="1"/>
    <col min="14" max="14" width="6.375" style="0" customWidth="1"/>
    <col min="15" max="16" width="4.75390625" style="0" customWidth="1"/>
    <col min="17" max="17" width="7.625" style="0" customWidth="1"/>
    <col min="18" max="16384" width="4.75390625" style="0" customWidth="1"/>
  </cols>
  <sheetData>
    <row r="1" spans="1:17" ht="16.5" customHeight="1" thickBot="1">
      <c r="A1" s="24"/>
      <c r="B1" s="25">
        <v>1</v>
      </c>
      <c r="C1" s="26"/>
      <c r="D1" s="25">
        <v>2</v>
      </c>
      <c r="E1" s="11">
        <v>3</v>
      </c>
      <c r="F1" s="11" t="s">
        <v>44</v>
      </c>
      <c r="G1" s="24"/>
      <c r="H1" s="25">
        <v>5</v>
      </c>
      <c r="I1" s="24"/>
      <c r="J1" s="25">
        <v>6</v>
      </c>
      <c r="K1" s="11">
        <v>7</v>
      </c>
      <c r="L1" s="11"/>
      <c r="M1" s="24"/>
      <c r="N1" s="25"/>
      <c r="O1" s="11"/>
      <c r="P1" s="24"/>
      <c r="Q1" s="25"/>
    </row>
    <row r="2" spans="1:17" ht="16.5" customHeight="1" thickBot="1">
      <c r="A2" s="27" t="s">
        <v>39</v>
      </c>
      <c r="B2" s="59">
        <f>'Коэфф.'!N7</f>
        <v>-0.375</v>
      </c>
      <c r="C2" s="27" t="s">
        <v>45</v>
      </c>
      <c r="D2" s="54">
        <f>'Коэфф.'!N4</f>
        <v>1.75</v>
      </c>
      <c r="E2" s="6" t="s">
        <v>46</v>
      </c>
      <c r="F2" s="6" t="s">
        <v>47</v>
      </c>
      <c r="G2" s="29" t="s">
        <v>40</v>
      </c>
      <c r="H2" s="53">
        <f>'Коэфф.'!H19</f>
        <v>-0.44176562500000005</v>
      </c>
      <c r="I2" s="27" t="s">
        <v>48</v>
      </c>
      <c r="J2" s="54">
        <f>'Коэфф.'!J19</f>
        <v>-0.721884375</v>
      </c>
      <c r="K2" s="6" t="s">
        <v>49</v>
      </c>
      <c r="L2" s="6" t="s">
        <v>1</v>
      </c>
      <c r="M2" s="30" t="s">
        <v>50</v>
      </c>
      <c r="N2" s="31"/>
      <c r="O2" s="6" t="s">
        <v>1</v>
      </c>
      <c r="P2" s="30" t="s">
        <v>50</v>
      </c>
      <c r="Q2" s="28"/>
    </row>
    <row r="3" spans="1:17" ht="16.5" customHeight="1" thickBot="1">
      <c r="A3" s="24" t="s">
        <v>24</v>
      </c>
      <c r="B3" s="25" t="s">
        <v>51</v>
      </c>
      <c r="C3" s="24" t="s">
        <v>24</v>
      </c>
      <c r="D3" s="25" t="s">
        <v>52</v>
      </c>
      <c r="E3" s="9"/>
      <c r="F3" s="52">
        <f>'Коэфф.'!M13</f>
        <v>-0.4375</v>
      </c>
      <c r="G3" s="24" t="s">
        <v>53</v>
      </c>
      <c r="H3" s="25" t="s">
        <v>54</v>
      </c>
      <c r="I3" s="24" t="s">
        <v>24</v>
      </c>
      <c r="J3" s="25" t="s">
        <v>55</v>
      </c>
      <c r="K3" s="9"/>
      <c r="L3" s="9"/>
      <c r="M3" s="24" t="s">
        <v>56</v>
      </c>
      <c r="N3" s="25" t="s">
        <v>57</v>
      </c>
      <c r="O3" s="11"/>
      <c r="P3" s="32" t="s">
        <v>58</v>
      </c>
      <c r="Q3" s="11" t="s">
        <v>57</v>
      </c>
    </row>
    <row r="4" spans="1:17" ht="16.5" customHeight="1">
      <c r="A4" s="33">
        <v>0</v>
      </c>
      <c r="B4" s="34">
        <f>B2*A4</f>
        <v>0</v>
      </c>
      <c r="C4" s="33">
        <v>1</v>
      </c>
      <c r="D4" s="34">
        <f>D2*C4</f>
        <v>1.75</v>
      </c>
      <c r="E4" s="35">
        <f>B4+D4</f>
        <v>1.75</v>
      </c>
      <c r="F4" s="60">
        <f>F3+E4</f>
        <v>1.3125</v>
      </c>
      <c r="G4" s="33">
        <v>0</v>
      </c>
      <c r="H4" s="34">
        <f>H2*G4</f>
        <v>0</v>
      </c>
      <c r="I4" s="33">
        <v>1</v>
      </c>
      <c r="J4" s="34">
        <f>J2*I4</f>
        <v>-0.721884375</v>
      </c>
      <c r="K4" s="35">
        <f>H4+J4</f>
        <v>-0.721884375</v>
      </c>
      <c r="L4" s="36">
        <v>0</v>
      </c>
      <c r="M4" s="36">
        <f>F4+K4</f>
        <v>0.590615625</v>
      </c>
      <c r="N4" s="76">
        <f>Ввод!D6-Расчеты!M4</f>
        <v>1.4093843750000001</v>
      </c>
      <c r="O4" s="37">
        <v>180</v>
      </c>
      <c r="P4" s="71">
        <f>F4-K4</f>
        <v>2.034384375</v>
      </c>
      <c r="Q4" s="76">
        <f>Ввод!D18-Расчеты!P4</f>
        <v>-1.0343843750000001</v>
      </c>
    </row>
    <row r="5" spans="1:17" ht="16.5" customHeight="1">
      <c r="A5" s="38">
        <f>SIN(30*0.01744)</f>
        <v>0.49965461045512294</v>
      </c>
      <c r="B5" s="39">
        <f>B2*A5</f>
        <v>-0.1873704789206711</v>
      </c>
      <c r="C5" s="38">
        <f>SIN(60*0.01744)</f>
        <v>0.8656263527942853</v>
      </c>
      <c r="D5" s="39">
        <f>D2*C5</f>
        <v>1.5148461173899994</v>
      </c>
      <c r="E5" s="85">
        <f aca="true" t="shared" si="0" ref="E5:E15">B5+D5</f>
        <v>1.3274756384693283</v>
      </c>
      <c r="F5" s="74">
        <f>F3+E5</f>
        <v>0.8899756384693283</v>
      </c>
      <c r="G5" s="38">
        <f>SIN(15/57.3)</f>
        <v>0.25880041902255485</v>
      </c>
      <c r="H5" s="39">
        <f>H2*G5</f>
        <v>-0.11432912885976085</v>
      </c>
      <c r="I5" s="38">
        <f>SIN(75/57.3)</f>
        <v>0.9659008676485555</v>
      </c>
      <c r="J5" s="39">
        <f>J2*I5</f>
        <v>-0.6972687441544353</v>
      </c>
      <c r="K5" s="85">
        <f aca="true" t="shared" si="1" ref="K5:K15">H5+J5</f>
        <v>-0.8115978730141962</v>
      </c>
      <c r="L5" s="40">
        <v>15</v>
      </c>
      <c r="M5" s="40">
        <f aca="true" t="shared" si="2" ref="M5:M15">F5+K5</f>
        <v>0.07837776545513209</v>
      </c>
      <c r="N5" s="68" t="str">
        <f>IF(ABS(N4)&gt;Ввод!J10,"неуд",IF(ABS(N4)&gt;Ввод!J9,"уд",IF(ABS(N4)&gt;Ввод!J8,"хор",IF(ABS(N4)&lt;=Ввод!J8,"отл"))))</f>
        <v>неуд</v>
      </c>
      <c r="O5" s="41">
        <v>195</v>
      </c>
      <c r="P5" s="72">
        <f aca="true" t="shared" si="3" ref="P5:P15">F5-K5</f>
        <v>1.7015735114835244</v>
      </c>
      <c r="Q5" s="68" t="str">
        <f>IF(ABS(Q4)&gt;Ввод!J10,"неуд",IF(ABS(Q4)&gt;Ввод!J9,"уд",IF(ABS(Q4)&gt;Ввод!J8,"хор",IF(ABS(Q4)&lt;=Ввод!J8,"отл"))))</f>
        <v>уд</v>
      </c>
    </row>
    <row r="6" spans="1:17" ht="16.5" customHeight="1">
      <c r="A6" s="38">
        <f>SIN(60*0.01744)</f>
        <v>0.8656263527942853</v>
      </c>
      <c r="B6" s="39">
        <f>B2*A6</f>
        <v>-0.32460988229785703</v>
      </c>
      <c r="C6" s="38">
        <f>SIN(30*0.01744)</f>
        <v>0.49965461045512294</v>
      </c>
      <c r="D6" s="39">
        <f>D2*C6</f>
        <v>0.8743955682964651</v>
      </c>
      <c r="E6" s="85">
        <f t="shared" si="0"/>
        <v>0.5497856859986081</v>
      </c>
      <c r="F6" s="74">
        <f>F3+E6</f>
        <v>0.11228568599860811</v>
      </c>
      <c r="G6" s="38">
        <f>SIN(30*0.01744)</f>
        <v>0.49965461045512294</v>
      </c>
      <c r="H6" s="39">
        <f>H2*G6</f>
        <v>-0.22073023127183894</v>
      </c>
      <c r="I6" s="38">
        <f>SIN(60*0.01744)</f>
        <v>0.8656263527942853</v>
      </c>
      <c r="J6" s="39">
        <f>J2*I6</f>
        <v>-0.6248821386704322</v>
      </c>
      <c r="K6" s="85">
        <f t="shared" si="1"/>
        <v>-0.8456123699422711</v>
      </c>
      <c r="L6" s="40">
        <v>30</v>
      </c>
      <c r="M6" s="40">
        <f t="shared" si="2"/>
        <v>-0.733326683943663</v>
      </c>
      <c r="N6" s="68"/>
      <c r="O6" s="41">
        <v>210</v>
      </c>
      <c r="P6" s="72">
        <f t="shared" si="3"/>
        <v>0.9578980559408792</v>
      </c>
      <c r="Q6" s="68"/>
    </row>
    <row r="7" spans="1:17" ht="16.5" customHeight="1">
      <c r="A7" s="38">
        <v>1</v>
      </c>
      <c r="B7" s="39">
        <f>B2*A7</f>
        <v>-0.375</v>
      </c>
      <c r="C7" s="38">
        <v>0</v>
      </c>
      <c r="D7" s="39">
        <f>D2*C7</f>
        <v>0</v>
      </c>
      <c r="E7" s="85">
        <f t="shared" si="0"/>
        <v>-0.375</v>
      </c>
      <c r="F7" s="74">
        <f>F3+E7</f>
        <v>-0.8125</v>
      </c>
      <c r="G7" s="38">
        <f>SIN(45/57.3)</f>
        <v>0.7070658743984229</v>
      </c>
      <c r="H7" s="39">
        <f>H2*G7</f>
        <v>-0.31235739791979084</v>
      </c>
      <c r="I7" s="38">
        <f>SIN(45/57.3)</f>
        <v>0.7070658743984229</v>
      </c>
      <c r="J7" s="39">
        <f>J2*I7</f>
        <v>-0.5104198068239341</v>
      </c>
      <c r="K7" s="85">
        <f t="shared" si="1"/>
        <v>-0.822777204743725</v>
      </c>
      <c r="L7" s="40">
        <v>45</v>
      </c>
      <c r="M7" s="40">
        <f t="shared" si="2"/>
        <v>-1.635277204743725</v>
      </c>
      <c r="N7" s="75">
        <f>Ввод!D9-Расчеты!M7</f>
        <v>-1.364722795256275</v>
      </c>
      <c r="O7" s="41">
        <v>225</v>
      </c>
      <c r="P7" s="72">
        <f t="shared" si="3"/>
        <v>0.010277204743724955</v>
      </c>
      <c r="Q7" s="75">
        <f>Ввод!D21-Расчеты!P7</f>
        <v>0.989722795256275</v>
      </c>
    </row>
    <row r="8" spans="1:17" ht="16.5" customHeight="1">
      <c r="A8" s="38">
        <f>SIN(60*0.01744)</f>
        <v>0.8656263527942853</v>
      </c>
      <c r="B8" s="39">
        <f>B2*A8</f>
        <v>-0.32460988229785703</v>
      </c>
      <c r="C8" s="38">
        <f>-SIN(30*0.01744)</f>
        <v>-0.49965461045512294</v>
      </c>
      <c r="D8" s="39">
        <f>D2*C8</f>
        <v>-0.8743955682964651</v>
      </c>
      <c r="E8" s="85">
        <f t="shared" si="0"/>
        <v>-1.1990054505943222</v>
      </c>
      <c r="F8" s="74">
        <f>F3+E8</f>
        <v>-1.6365054505943222</v>
      </c>
      <c r="G8" s="38">
        <f>SIN(60*0.01744)</f>
        <v>0.8656263527942853</v>
      </c>
      <c r="H8" s="39">
        <f>H2*G8</f>
        <v>-0.382403966758638</v>
      </c>
      <c r="I8" s="38">
        <f>SIN(30*0.01744)</f>
        <v>0.49965461045512294</v>
      </c>
      <c r="J8" s="39">
        <f>J2*I8</f>
        <v>-0.3606928561842649</v>
      </c>
      <c r="K8" s="85">
        <f t="shared" si="1"/>
        <v>-0.7430968229429029</v>
      </c>
      <c r="L8" s="40">
        <v>60</v>
      </c>
      <c r="M8" s="40">
        <f t="shared" si="2"/>
        <v>-2.379602273537225</v>
      </c>
      <c r="N8" s="68" t="str">
        <f>IF(ABS(N7)&gt;Ввод!J10,"неуд",IF(ABS(N7)&gt;Ввод!J9,"уд",IF(ABS(N7)&gt;Ввод!J8,"хор",IF(ABS(N7)&lt;=Ввод!J8,"отл"))))</f>
        <v>неуд</v>
      </c>
      <c r="O8" s="41">
        <v>240</v>
      </c>
      <c r="P8" s="72">
        <f t="shared" si="3"/>
        <v>-0.8934086276514193</v>
      </c>
      <c r="Q8" s="68" t="str">
        <f>IF(ABS(Q7)&gt;Ввод!J10,"неуд",IF(ABS(Q7)&gt;Ввод!J9,"уд",IF(ABS(Q7)&gt;Ввод!J8,"хор",IF(ABS(Q7)&lt;=Ввод!J8,"отл"))))</f>
        <v>уд</v>
      </c>
    </row>
    <row r="9" spans="1:17" ht="16.5" customHeight="1">
      <c r="A9" s="38">
        <f>SIN(30*0.01744)</f>
        <v>0.49965461045512294</v>
      </c>
      <c r="B9" s="39">
        <f>B2*A9</f>
        <v>-0.1873704789206711</v>
      </c>
      <c r="C9" s="38">
        <f>-SIN(60*0.01744)</f>
        <v>-0.8656263527942853</v>
      </c>
      <c r="D9" s="39">
        <f>D2*C9</f>
        <v>-1.5148461173899994</v>
      </c>
      <c r="E9" s="85">
        <f t="shared" si="0"/>
        <v>-1.7022165963106706</v>
      </c>
      <c r="F9" s="74">
        <f>F3+E9</f>
        <v>-2.1397165963106706</v>
      </c>
      <c r="G9" s="38">
        <f>SIN(75/57.3)</f>
        <v>0.9659008676485555</v>
      </c>
      <c r="H9" s="39">
        <f>H2*G9</f>
        <v>-0.4267018004848065</v>
      </c>
      <c r="I9" s="38">
        <f>SIN(15/57.3)</f>
        <v>0.25880041902255485</v>
      </c>
      <c r="J9" s="39">
        <f>J2*I9</f>
        <v>-0.18682397873583512</v>
      </c>
      <c r="K9" s="85">
        <f t="shared" si="1"/>
        <v>-0.6135257792206417</v>
      </c>
      <c r="L9" s="40">
        <v>75</v>
      </c>
      <c r="M9" s="40">
        <f t="shared" si="2"/>
        <v>-2.753242375531312</v>
      </c>
      <c r="N9" s="68"/>
      <c r="O9" s="41">
        <v>255</v>
      </c>
      <c r="P9" s="72">
        <f t="shared" si="3"/>
        <v>-1.526190817090029</v>
      </c>
      <c r="Q9" s="68"/>
    </row>
    <row r="10" spans="1:17" ht="16.5" customHeight="1">
      <c r="A10" s="38">
        <v>0</v>
      </c>
      <c r="B10" s="39">
        <f>B2*A10</f>
        <v>0</v>
      </c>
      <c r="C10" s="38">
        <v>-1</v>
      </c>
      <c r="D10" s="39">
        <f>D2*C10</f>
        <v>-1.75</v>
      </c>
      <c r="E10" s="85">
        <f t="shared" si="0"/>
        <v>-1.75</v>
      </c>
      <c r="F10" s="74">
        <f>F3+E10</f>
        <v>-2.1875</v>
      </c>
      <c r="G10" s="38">
        <v>1</v>
      </c>
      <c r="H10" s="39">
        <f>H2*G10</f>
        <v>-0.44176562500000005</v>
      </c>
      <c r="I10" s="38">
        <v>0</v>
      </c>
      <c r="J10" s="39">
        <f>J2*I10</f>
        <v>0</v>
      </c>
      <c r="K10" s="85">
        <f t="shared" si="1"/>
        <v>-0.44176562500000005</v>
      </c>
      <c r="L10" s="40">
        <v>90</v>
      </c>
      <c r="M10" s="40">
        <f t="shared" si="2"/>
        <v>-2.629265625</v>
      </c>
      <c r="N10" s="75">
        <f>Ввод!D12-Расчеты!M10</f>
        <v>0.6292656249999999</v>
      </c>
      <c r="O10" s="41">
        <v>270</v>
      </c>
      <c r="P10" s="72">
        <f t="shared" si="3"/>
        <v>-1.745734375</v>
      </c>
      <c r="Q10" s="75">
        <f>Ввод!D24-Расчеты!P10</f>
        <v>-0.25426562499999994</v>
      </c>
    </row>
    <row r="11" spans="1:17" ht="16.5" customHeight="1">
      <c r="A11" s="38">
        <f>-SIN(30*0.01744)</f>
        <v>-0.49965461045512294</v>
      </c>
      <c r="B11" s="39">
        <f>B2*A11</f>
        <v>0.1873704789206711</v>
      </c>
      <c r="C11" s="38">
        <f>-SIN(60*0.01744)</f>
        <v>-0.8656263527942853</v>
      </c>
      <c r="D11" s="39">
        <f>D2*C11</f>
        <v>-1.5148461173899994</v>
      </c>
      <c r="E11" s="85">
        <f t="shared" si="0"/>
        <v>-1.3274756384693283</v>
      </c>
      <c r="F11" s="74">
        <f>F3+E11</f>
        <v>-1.7649756384693283</v>
      </c>
      <c r="G11" s="38">
        <f>SIN(75/57.3)</f>
        <v>0.9659008676485555</v>
      </c>
      <c r="H11" s="39">
        <f>H2*G11</f>
        <v>-0.4267018004848065</v>
      </c>
      <c r="I11" s="38">
        <f>-SIN(15/57.3)</f>
        <v>-0.25880041902255485</v>
      </c>
      <c r="J11" s="39">
        <f>J2*I11</f>
        <v>0.18682397873583512</v>
      </c>
      <c r="K11" s="85">
        <f t="shared" si="1"/>
        <v>-0.23987782174897138</v>
      </c>
      <c r="L11" s="40">
        <v>105</v>
      </c>
      <c r="M11" s="40">
        <f t="shared" si="2"/>
        <v>-2.0048534602182997</v>
      </c>
      <c r="N11" s="68" t="str">
        <f>IF(ABS(N10)&gt;Ввод!J10,"неуд",IF(ABS(N10)&gt;Ввод!J9,"уд",IF(ABS(N10)&gt;Ввод!J8,"хор",IF(ABS(N10)&lt;=Ввод!J8,"отл"))))</f>
        <v>хор</v>
      </c>
      <c r="O11" s="41">
        <v>285</v>
      </c>
      <c r="P11" s="72">
        <f t="shared" si="3"/>
        <v>-1.5250978167203568</v>
      </c>
      <c r="Q11" s="68" t="str">
        <f>IF(ABS(Q10)&gt;Ввод!J10,"неуд",IF(ABS(Q10)&gt;Ввод!J9,"уд",IF(ABS(Q10)&gt;Ввод!J8,"хор",IF(ABS(Q10)&lt;=Ввод!J8,"отл"))))</f>
        <v>отл</v>
      </c>
    </row>
    <row r="12" spans="1:17" ht="16.5" customHeight="1">
      <c r="A12" s="38">
        <f>-SIN(60*0.01744)</f>
        <v>-0.8656263527942853</v>
      </c>
      <c r="B12" s="39">
        <f>B2*A12</f>
        <v>0.32460988229785703</v>
      </c>
      <c r="C12" s="38">
        <f>-SIN(30*0.01744)</f>
        <v>-0.49965461045512294</v>
      </c>
      <c r="D12" s="39">
        <f>D2*C12</f>
        <v>-0.8743955682964651</v>
      </c>
      <c r="E12" s="85">
        <f t="shared" si="0"/>
        <v>-0.5497856859986081</v>
      </c>
      <c r="F12" s="74">
        <f>F3+E12</f>
        <v>-0.9872856859986081</v>
      </c>
      <c r="G12" s="38">
        <f>SIN(60*0.01744)</f>
        <v>0.8656263527942853</v>
      </c>
      <c r="H12" s="39">
        <f>H2*G12</f>
        <v>-0.382403966758638</v>
      </c>
      <c r="I12" s="38">
        <f>-SIN(30*0.01744)</f>
        <v>-0.49965461045512294</v>
      </c>
      <c r="J12" s="39">
        <f>J2*I12</f>
        <v>0.3606928561842649</v>
      </c>
      <c r="K12" s="85">
        <f t="shared" si="1"/>
        <v>-0.021711110574373138</v>
      </c>
      <c r="L12" s="40">
        <v>120</v>
      </c>
      <c r="M12" s="40">
        <f t="shared" si="2"/>
        <v>-1.0089967965729811</v>
      </c>
      <c r="N12" s="68"/>
      <c r="O12" s="41">
        <v>300</v>
      </c>
      <c r="P12" s="72">
        <f t="shared" si="3"/>
        <v>-0.965574575424235</v>
      </c>
      <c r="Q12" s="68"/>
    </row>
    <row r="13" spans="1:17" ht="16.5" customHeight="1">
      <c r="A13" s="38">
        <v>-1</v>
      </c>
      <c r="B13" s="39">
        <f>B2*A13</f>
        <v>0.375</v>
      </c>
      <c r="C13" s="38">
        <v>0</v>
      </c>
      <c r="D13" s="39">
        <f>D2*C13</f>
        <v>0</v>
      </c>
      <c r="E13" s="85">
        <f t="shared" si="0"/>
        <v>0.375</v>
      </c>
      <c r="F13" s="74">
        <f>F3+E13</f>
        <v>-0.0625</v>
      </c>
      <c r="G13" s="38">
        <f>SIN(45/57.3)</f>
        <v>0.7070658743984229</v>
      </c>
      <c r="H13" s="39">
        <f>H2*G13</f>
        <v>-0.31235739791979084</v>
      </c>
      <c r="I13" s="38">
        <f>-SIN(45/57.3)</f>
        <v>-0.7070658743984229</v>
      </c>
      <c r="J13" s="39">
        <f>J2*I13</f>
        <v>0.5104198068239341</v>
      </c>
      <c r="K13" s="85">
        <f t="shared" si="1"/>
        <v>0.19806240890414323</v>
      </c>
      <c r="L13" s="40">
        <v>135</v>
      </c>
      <c r="M13" s="40">
        <f t="shared" si="2"/>
        <v>0.13556240890414323</v>
      </c>
      <c r="N13" s="75">
        <f>Расчеты!D15-Расчеты!M13</f>
        <v>1.3792837084858562</v>
      </c>
      <c r="O13" s="41">
        <v>315</v>
      </c>
      <c r="P13" s="72">
        <f t="shared" si="3"/>
        <v>-0.26056240890414323</v>
      </c>
      <c r="Q13" s="70">
        <f>Ввод!D27-Расчеты!P13</f>
        <v>-0.7394375910958568</v>
      </c>
    </row>
    <row r="14" spans="1:17" ht="16.5" customHeight="1">
      <c r="A14" s="38">
        <f>-SIN(60*0.01744)</f>
        <v>-0.8656263527942853</v>
      </c>
      <c r="B14" s="39">
        <f>B2*A14</f>
        <v>0.32460988229785703</v>
      </c>
      <c r="C14" s="38">
        <f>SIN(30*0.01744)</f>
        <v>0.49965461045512294</v>
      </c>
      <c r="D14" s="39">
        <f>D2*C14</f>
        <v>0.8743955682964651</v>
      </c>
      <c r="E14" s="85">
        <f t="shared" si="0"/>
        <v>1.1990054505943222</v>
      </c>
      <c r="F14" s="61">
        <f>F3+E14</f>
        <v>0.7615054505943222</v>
      </c>
      <c r="G14" s="38">
        <f>SIN(30*0.01744)</f>
        <v>0.49965461045512294</v>
      </c>
      <c r="H14" s="39">
        <f>H2*G14</f>
        <v>-0.22073023127183894</v>
      </c>
      <c r="I14" s="38">
        <f>-SIN(60*0.01744)</f>
        <v>-0.8656263527942853</v>
      </c>
      <c r="J14" s="39">
        <f>J2*I14</f>
        <v>0.6248821386704322</v>
      </c>
      <c r="K14" s="85">
        <f t="shared" si="1"/>
        <v>0.40415190739859325</v>
      </c>
      <c r="L14" s="40">
        <v>150</v>
      </c>
      <c r="M14" s="40">
        <f t="shared" si="2"/>
        <v>1.1656573579929155</v>
      </c>
      <c r="N14" s="68" t="str">
        <f>IF(ABS(N13)&gt;Ввод!J10,"неуд",IF(ABS(N13)&gt;Ввод!J9,"уд",IF(ABS(N13)&gt;Ввод!J8,"хор",IF(ABS(N13)&lt;=Ввод!J8,"отл"))))</f>
        <v>неуд</v>
      </c>
      <c r="O14" s="41">
        <v>330</v>
      </c>
      <c r="P14" s="72">
        <f t="shared" si="3"/>
        <v>0.35735354319572893</v>
      </c>
      <c r="Q14" s="68" t="str">
        <f>IF(ABS(Q13)&gt;Ввод!J10,"неуд",IF(ABS(Q13)&gt;Ввод!J9,"уд",IF(ABS(Q13)&gt;Ввод!J8,"хор",IF(ABS(Q13)&lt;=Ввод!J8,"отл"))))</f>
        <v>хор</v>
      </c>
    </row>
    <row r="15" spans="1:17" ht="16.5" customHeight="1" thickBot="1">
      <c r="A15" s="42">
        <f>-SIN(30*0.01744)</f>
        <v>-0.49965461045512294</v>
      </c>
      <c r="B15" s="43">
        <f>B2*A15</f>
        <v>0.1873704789206711</v>
      </c>
      <c r="C15" s="42">
        <f>SIN(60*0.01744)</f>
        <v>0.8656263527942853</v>
      </c>
      <c r="D15" s="43">
        <f>D2*C15</f>
        <v>1.5148461173899994</v>
      </c>
      <c r="E15" s="86">
        <f t="shared" si="0"/>
        <v>1.7022165963106706</v>
      </c>
      <c r="F15" s="62">
        <f>F3+E15</f>
        <v>1.2647165963106706</v>
      </c>
      <c r="G15" s="42">
        <f>SIN(15/57.3)</f>
        <v>0.25880041902255485</v>
      </c>
      <c r="H15" s="43">
        <f>H2*G15</f>
        <v>-0.11432912885976085</v>
      </c>
      <c r="I15" s="42">
        <f>-SIN(75/57.3)</f>
        <v>-0.9659008676485555</v>
      </c>
      <c r="J15" s="43">
        <f>J2*I15</f>
        <v>0.6972687441544353</v>
      </c>
      <c r="K15" s="86">
        <f t="shared" si="1"/>
        <v>0.5829396152946744</v>
      </c>
      <c r="L15" s="44">
        <v>165</v>
      </c>
      <c r="M15" s="44">
        <f t="shared" si="2"/>
        <v>1.847656211605345</v>
      </c>
      <c r="N15" s="69"/>
      <c r="O15" s="45">
        <v>345</v>
      </c>
      <c r="P15" s="73">
        <f t="shared" si="3"/>
        <v>0.6817769810159962</v>
      </c>
      <c r="Q15" s="69"/>
    </row>
  </sheetData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9"/>
  <sheetViews>
    <sheetView showGridLines="0" zoomScale="75" zoomScaleNormal="75" workbookViewId="0" topLeftCell="A38">
      <selection activeCell="F57" sqref="F57"/>
    </sheetView>
  </sheetViews>
  <sheetFormatPr defaultColWidth="9.00390625" defaultRowHeight="12.75"/>
  <cols>
    <col min="1" max="1" width="7.75390625" style="0" customWidth="1"/>
    <col min="2" max="3" width="7.75390625" style="87" customWidth="1"/>
    <col min="4" max="4" width="6.625" style="87" customWidth="1"/>
    <col min="5" max="5" width="7.75390625" style="87" customWidth="1"/>
    <col min="6" max="6" width="7.75390625" style="0" customWidth="1"/>
    <col min="7" max="7" width="7.75390625" style="91" customWidth="1"/>
    <col min="8" max="8" width="7.75390625" style="92" customWidth="1"/>
    <col min="9" max="13" width="7.75390625" style="0" customWidth="1"/>
  </cols>
  <sheetData>
    <row r="1" ht="15.75" customHeight="1"/>
    <row r="2" ht="30" customHeight="1">
      <c r="F2" s="121"/>
    </row>
    <row r="3" spans="2:10" ht="21.75" customHeight="1">
      <c r="B3" s="117" t="s">
        <v>59</v>
      </c>
      <c r="C3"/>
      <c r="D3" s="117"/>
      <c r="E3" s="117"/>
      <c r="F3" s="118"/>
      <c r="H3" s="115"/>
      <c r="I3" s="125" t="s">
        <v>60</v>
      </c>
      <c r="J3" s="116"/>
    </row>
    <row r="4" spans="2:9" ht="6.75" customHeight="1" thickBot="1">
      <c r="B4"/>
      <c r="C4"/>
      <c r="D4"/>
      <c r="E4"/>
      <c r="G4"/>
      <c r="H4"/>
      <c r="I4" s="47"/>
    </row>
    <row r="5" spans="2:10" ht="9" customHeight="1" thickBot="1">
      <c r="B5" s="122" t="str">
        <f>H5</f>
        <v>Мк</v>
      </c>
      <c r="C5" s="123" t="s">
        <v>2</v>
      </c>
      <c r="D5" s="123" t="s">
        <v>3</v>
      </c>
      <c r="E5" s="124" t="s">
        <v>61</v>
      </c>
      <c r="G5"/>
      <c r="H5" s="122" t="s">
        <v>62</v>
      </c>
      <c r="I5" s="123" t="str">
        <f>E5</f>
        <v>ДЕВ</v>
      </c>
      <c r="J5" s="122" t="s">
        <v>63</v>
      </c>
    </row>
    <row r="6" spans="2:10" ht="9" customHeight="1">
      <c r="B6" s="95"/>
      <c r="C6" s="96"/>
      <c r="D6" s="96"/>
      <c r="E6" s="97"/>
      <c r="G6"/>
      <c r="H6" s="93">
        <v>0</v>
      </c>
      <c r="I6" s="119">
        <f>Ввод!G4</f>
        <v>0.590615625</v>
      </c>
      <c r="J6" s="88" t="str">
        <f>Расчеты!N5</f>
        <v>неуд</v>
      </c>
    </row>
    <row r="7" spans="2:10" ht="9" customHeight="1">
      <c r="B7" s="98" t="s">
        <v>5</v>
      </c>
      <c r="C7" s="99">
        <v>2</v>
      </c>
      <c r="D7" s="100">
        <v>3</v>
      </c>
      <c r="E7" s="101">
        <f>SUM(C7,-D7)</f>
        <v>-1</v>
      </c>
      <c r="G7"/>
      <c r="H7" s="94">
        <v>15</v>
      </c>
      <c r="I7" s="120">
        <f>Ввод!G5</f>
        <v>0.07837776545513209</v>
      </c>
      <c r="J7" s="89" t="s">
        <v>64</v>
      </c>
    </row>
    <row r="8" spans="2:10" ht="9" customHeight="1" thickBot="1">
      <c r="B8" s="102"/>
      <c r="C8" s="103"/>
      <c r="D8" s="104"/>
      <c r="E8" s="105"/>
      <c r="G8"/>
      <c r="H8" s="94">
        <v>30</v>
      </c>
      <c r="I8" s="120">
        <f>Ввод!G6</f>
        <v>-0.733326683943663</v>
      </c>
      <c r="J8" s="89"/>
    </row>
    <row r="9" spans="2:10" ht="9" customHeight="1">
      <c r="B9" s="95"/>
      <c r="C9" s="96"/>
      <c r="D9" s="96"/>
      <c r="E9" s="97"/>
      <c r="G9"/>
      <c r="H9" s="94">
        <v>45</v>
      </c>
      <c r="I9" s="120">
        <f>Ввод!G7</f>
        <v>-1.635277204743725</v>
      </c>
      <c r="J9" s="89" t="str">
        <f>Расчеты!N8</f>
        <v>неуд</v>
      </c>
    </row>
    <row r="10" spans="2:10" ht="9" customHeight="1">
      <c r="B10" s="98" t="s">
        <v>13</v>
      </c>
      <c r="C10" s="99">
        <v>45</v>
      </c>
      <c r="D10" s="100">
        <v>45.5</v>
      </c>
      <c r="E10" s="101">
        <f>SUM(C10,-D10)</f>
        <v>-0.5</v>
      </c>
      <c r="G10"/>
      <c r="H10" s="94">
        <v>60</v>
      </c>
      <c r="I10" s="120">
        <f>Ввод!G8</f>
        <v>-2.379602273537225</v>
      </c>
      <c r="J10" s="89"/>
    </row>
    <row r="11" spans="2:10" ht="9" customHeight="1" thickBot="1">
      <c r="B11" s="102"/>
      <c r="C11" s="103"/>
      <c r="D11" s="104"/>
      <c r="E11" s="105"/>
      <c r="G11"/>
      <c r="H11" s="94">
        <v>75</v>
      </c>
      <c r="I11" s="120">
        <f>Ввод!G9</f>
        <v>-2.753242375531312</v>
      </c>
      <c r="J11" s="89"/>
    </row>
    <row r="12" spans="2:10" ht="9" customHeight="1">
      <c r="B12" s="95"/>
      <c r="C12" s="96"/>
      <c r="D12" s="96"/>
      <c r="E12" s="97"/>
      <c r="G12"/>
      <c r="H12" s="94">
        <v>90</v>
      </c>
      <c r="I12" s="120">
        <f>Ввод!G10</f>
        <v>-2.629265625</v>
      </c>
      <c r="J12" s="89" t="str">
        <f>Расчеты!N11</f>
        <v>хор</v>
      </c>
    </row>
    <row r="13" spans="2:10" ht="9" customHeight="1">
      <c r="B13" s="98" t="s">
        <v>18</v>
      </c>
      <c r="C13" s="99">
        <v>90</v>
      </c>
      <c r="D13" s="100">
        <v>90</v>
      </c>
      <c r="E13" s="101">
        <f>SUM(C13,-D13)</f>
        <v>0</v>
      </c>
      <c r="G13"/>
      <c r="H13" s="94">
        <v>105</v>
      </c>
      <c r="I13" s="120">
        <f>Ввод!G11</f>
        <v>-2.0048534602182997</v>
      </c>
      <c r="J13" s="89"/>
    </row>
    <row r="14" spans="2:10" ht="9" customHeight="1" thickBot="1">
      <c r="B14" s="102"/>
      <c r="C14" s="103"/>
      <c r="D14" s="104"/>
      <c r="E14" s="105"/>
      <c r="G14"/>
      <c r="H14" s="94">
        <v>120</v>
      </c>
      <c r="I14" s="120">
        <f>Ввод!G12</f>
        <v>-1.0089967965729811</v>
      </c>
      <c r="J14" s="89"/>
    </row>
    <row r="15" spans="2:10" ht="9" customHeight="1">
      <c r="B15" s="95"/>
      <c r="C15" s="96"/>
      <c r="D15" s="96"/>
      <c r="E15" s="97"/>
      <c r="G15"/>
      <c r="H15" s="94">
        <v>135</v>
      </c>
      <c r="I15" s="120">
        <f>Ввод!G13</f>
        <v>0.13556240890414323</v>
      </c>
      <c r="J15" s="89" t="str">
        <f>Расчеты!N14</f>
        <v>неуд</v>
      </c>
    </row>
    <row r="16" spans="2:10" ht="9" customHeight="1">
      <c r="B16" s="98" t="s">
        <v>19</v>
      </c>
      <c r="C16" s="99">
        <v>135</v>
      </c>
      <c r="D16" s="100">
        <v>134.5</v>
      </c>
      <c r="E16" s="101">
        <f>SUM(C16,-D16)</f>
        <v>0.5</v>
      </c>
      <c r="G16"/>
      <c r="H16" s="94">
        <v>150</v>
      </c>
      <c r="I16" s="120">
        <f>Ввод!G14</f>
        <v>1.1656573579929155</v>
      </c>
      <c r="J16" s="89"/>
    </row>
    <row r="17" spans="2:10" ht="9" customHeight="1" thickBot="1">
      <c r="B17" s="102"/>
      <c r="C17" s="103"/>
      <c r="D17" s="104"/>
      <c r="E17" s="105"/>
      <c r="G17"/>
      <c r="H17" s="94">
        <v>165</v>
      </c>
      <c r="I17" s="120">
        <f>Ввод!G15</f>
        <v>1.847656211605345</v>
      </c>
      <c r="J17" s="89"/>
    </row>
    <row r="18" spans="2:10" ht="9" customHeight="1">
      <c r="B18" s="95"/>
      <c r="C18" s="96"/>
      <c r="D18" s="96"/>
      <c r="E18" s="97"/>
      <c r="G18"/>
      <c r="H18" s="94">
        <v>180</v>
      </c>
      <c r="I18" s="120">
        <f>Ввод!G16</f>
        <v>2.034384375</v>
      </c>
      <c r="J18" s="89" t="str">
        <f>Расчеты!Q5</f>
        <v>уд</v>
      </c>
    </row>
    <row r="19" spans="2:10" ht="9" customHeight="1">
      <c r="B19" s="98" t="s">
        <v>20</v>
      </c>
      <c r="C19" s="99">
        <v>180</v>
      </c>
      <c r="D19" s="100">
        <v>179</v>
      </c>
      <c r="E19" s="101">
        <f>SUM(C19,-D19)</f>
        <v>1</v>
      </c>
      <c r="G19"/>
      <c r="H19" s="94">
        <v>195</v>
      </c>
      <c r="I19" s="120">
        <f>Ввод!G17</f>
        <v>1.7015735114835244</v>
      </c>
      <c r="J19" s="89"/>
    </row>
    <row r="20" spans="2:10" ht="9" customHeight="1" thickBot="1">
      <c r="B20" s="102"/>
      <c r="C20" s="103"/>
      <c r="D20" s="104"/>
      <c r="E20" s="105"/>
      <c r="G20"/>
      <c r="H20" s="94">
        <v>210</v>
      </c>
      <c r="I20" s="120">
        <f>Ввод!G18</f>
        <v>0.9578980559408792</v>
      </c>
      <c r="J20" s="89"/>
    </row>
    <row r="21" spans="2:10" ht="9" customHeight="1">
      <c r="B21" s="95"/>
      <c r="C21" s="96"/>
      <c r="D21" s="96"/>
      <c r="E21" s="97"/>
      <c r="G21"/>
      <c r="H21" s="94">
        <v>225</v>
      </c>
      <c r="I21" s="120">
        <f>Ввод!G19</f>
        <v>0.010277204743724955</v>
      </c>
      <c r="J21" s="89" t="str">
        <f>Расчеты!Q8</f>
        <v>уд</v>
      </c>
    </row>
    <row r="22" spans="2:10" ht="9" customHeight="1">
      <c r="B22" s="98" t="s">
        <v>21</v>
      </c>
      <c r="C22" s="99">
        <v>225</v>
      </c>
      <c r="D22" s="100">
        <v>223</v>
      </c>
      <c r="E22" s="101">
        <f>SUM(C22,-D22)</f>
        <v>2</v>
      </c>
      <c r="G22"/>
      <c r="H22" s="94">
        <v>240</v>
      </c>
      <c r="I22" s="120">
        <f>Ввод!G20</f>
        <v>-0.8934086276514193</v>
      </c>
      <c r="J22" s="89"/>
    </row>
    <row r="23" spans="2:10" ht="9" customHeight="1" thickBot="1">
      <c r="B23" s="102"/>
      <c r="C23" s="103"/>
      <c r="D23" s="104"/>
      <c r="E23" s="105"/>
      <c r="G23"/>
      <c r="H23" s="94">
        <v>255</v>
      </c>
      <c r="I23" s="120">
        <f>Ввод!G21</f>
        <v>-1.526190817090029</v>
      </c>
      <c r="J23" s="89"/>
    </row>
    <row r="24" spans="2:10" ht="9" customHeight="1">
      <c r="B24" s="95"/>
      <c r="C24" s="96"/>
      <c r="D24" s="96"/>
      <c r="E24" s="97"/>
      <c r="G24"/>
      <c r="H24" s="94">
        <v>270</v>
      </c>
      <c r="I24" s="120">
        <f>Ввод!G22</f>
        <v>-1.745734375</v>
      </c>
      <c r="J24" s="89" t="str">
        <f>Расчеты!Q11</f>
        <v>отл</v>
      </c>
    </row>
    <row r="25" spans="2:10" ht="9" customHeight="1">
      <c r="B25" s="98" t="s">
        <v>22</v>
      </c>
      <c r="C25" s="99">
        <v>270</v>
      </c>
      <c r="D25" s="100">
        <v>270</v>
      </c>
      <c r="E25" s="101">
        <f>SUM(C25,-D25)</f>
        <v>0</v>
      </c>
      <c r="G25"/>
      <c r="H25" s="94">
        <v>285</v>
      </c>
      <c r="I25" s="120">
        <f>Ввод!G23</f>
        <v>-1.5250978167203568</v>
      </c>
      <c r="J25" s="89"/>
    </row>
    <row r="26" spans="2:10" ht="9" customHeight="1" thickBot="1">
      <c r="B26" s="102"/>
      <c r="C26" s="103"/>
      <c r="D26" s="104"/>
      <c r="E26" s="105"/>
      <c r="G26"/>
      <c r="H26" s="94">
        <v>300</v>
      </c>
      <c r="I26" s="120">
        <f>Ввод!G24</f>
        <v>-0.965574575424235</v>
      </c>
      <c r="J26" s="89"/>
    </row>
    <row r="27" spans="2:10" ht="9" customHeight="1">
      <c r="B27" s="95"/>
      <c r="C27" s="96"/>
      <c r="D27" s="96"/>
      <c r="E27" s="97"/>
      <c r="G27"/>
      <c r="H27" s="94">
        <v>315</v>
      </c>
      <c r="I27" s="120">
        <f>Ввод!G25</f>
        <v>-0.26056240890414323</v>
      </c>
      <c r="J27" s="89" t="str">
        <f>Расчеты!Q14</f>
        <v>хор</v>
      </c>
    </row>
    <row r="28" spans="2:10" ht="9" customHeight="1">
      <c r="B28" s="98" t="s">
        <v>23</v>
      </c>
      <c r="C28" s="99">
        <v>315</v>
      </c>
      <c r="D28" s="100">
        <v>316.1</v>
      </c>
      <c r="E28" s="101">
        <f>SUM(C28,-D28)</f>
        <v>-1.1000000000000227</v>
      </c>
      <c r="G28"/>
      <c r="H28" s="94">
        <v>330</v>
      </c>
      <c r="I28" s="120">
        <f>Ввод!G26</f>
        <v>0.35735354319572893</v>
      </c>
      <c r="J28" s="89"/>
    </row>
    <row r="29" spans="2:10" ht="13.5" thickBot="1">
      <c r="B29" s="102"/>
      <c r="C29" s="103"/>
      <c r="D29" s="104"/>
      <c r="E29" s="105"/>
      <c r="G29"/>
      <c r="H29" s="102">
        <v>345</v>
      </c>
      <c r="I29" s="104">
        <f>Ввод!G27</f>
        <v>0.6817769810159962</v>
      </c>
      <c r="J29" s="105"/>
    </row>
    <row r="30" spans="2:8" ht="12.75">
      <c r="B30"/>
      <c r="C30"/>
      <c r="D30"/>
      <c r="E30"/>
      <c r="H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47" spans="2:4" ht="13.5" thickBot="1">
      <c r="B47" s="90"/>
      <c r="C47" s="90" t="s">
        <v>65</v>
      </c>
      <c r="D47" s="90"/>
    </row>
    <row r="48" spans="2:4" ht="12.75">
      <c r="B48" s="106" t="s">
        <v>47</v>
      </c>
      <c r="C48" s="107">
        <f>'Коэфф.'!M13</f>
        <v>-0.4375</v>
      </c>
      <c r="D48" s="108" t="str">
        <f>'Коэфф.'!B17</f>
        <v>отл</v>
      </c>
    </row>
    <row r="49" spans="2:4" ht="12.75">
      <c r="B49" s="109" t="s">
        <v>40</v>
      </c>
      <c r="C49" s="110">
        <f>'Коэфф.'!H19</f>
        <v>-0.44176562500000005</v>
      </c>
      <c r="D49" s="111" t="str">
        <f>'Коэфф.'!B19</f>
        <v>отл</v>
      </c>
    </row>
    <row r="50" spans="2:4" ht="12.75">
      <c r="B50" s="109" t="s">
        <v>43</v>
      </c>
      <c r="C50" s="110">
        <f>'Коэфф.'!J19</f>
        <v>-0.721884375</v>
      </c>
      <c r="D50" s="111" t="str">
        <f>'Коэфф.'!B20</f>
        <v>отл</v>
      </c>
    </row>
    <row r="51" spans="2:4" ht="12.75">
      <c r="B51" s="109" t="s">
        <v>39</v>
      </c>
      <c r="C51" s="110">
        <f>'Коэфф.'!N7</f>
        <v>-0.375</v>
      </c>
      <c r="D51" s="111" t="str">
        <f>'Коэфф.'!B18</f>
        <v>отл</v>
      </c>
    </row>
    <row r="52" spans="2:4" ht="13.5" thickBot="1">
      <c r="B52" s="112" t="s">
        <v>45</v>
      </c>
      <c r="C52" s="113">
        <f>'Коэфф.'!N4</f>
        <v>1.75</v>
      </c>
      <c r="D52" s="114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Лаборатория ЭВТ ВСОК ВМФ</dc:creator>
  <cp:keywords/>
  <dc:description/>
  <cp:lastModifiedBy>сидоров</cp:lastModifiedBy>
  <dcterms:modified xsi:type="dcterms:W3CDTF">2001-07-24T12:26:05Z</dcterms:modified>
  <cp:category/>
  <cp:version/>
  <cp:contentType/>
  <cp:contentStatus/>
</cp:coreProperties>
</file>