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1" activeTab="1"/>
  </bookViews>
  <sheets>
    <sheet name="Sun.Moon.Planets" sheetId="1" r:id="rId1"/>
    <sheet name="Stars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4" authorId="0">
      <text>
        <r>
          <rPr>
            <sz val="10"/>
            <rFont val="Bitstream Charter"/>
            <family val="1"/>
          </rPr>
          <t>Only degrees are to be put here</t>
        </r>
      </text>
    </comment>
    <comment ref="G4" authorId="0">
      <text>
        <r>
          <rPr>
            <sz val="10"/>
            <rFont val="Bitstream Charter"/>
            <family val="1"/>
          </rPr>
          <t>Only minutes are to be put here</t>
        </r>
      </text>
    </comment>
    <comment ref="H4" authorId="0">
      <text>
        <r>
          <rPr>
            <sz val="10"/>
            <rFont val="Bitstream Charter"/>
            <family val="1"/>
          </rPr>
          <t>Converted result</t>
        </r>
      </text>
    </comment>
    <comment ref="F5" authorId="0">
      <text>
        <r>
          <rPr>
            <sz val="10"/>
            <rFont val="Bitstream Charter"/>
            <family val="1"/>
          </rPr>
          <t>Only degrees are to be put here</t>
        </r>
      </text>
    </comment>
    <comment ref="G5" authorId="0">
      <text>
        <r>
          <rPr>
            <sz val="10"/>
            <rFont val="Bitstream Charter"/>
            <family val="1"/>
          </rPr>
          <t>Only minutes are to be put here</t>
        </r>
      </text>
    </comment>
    <comment ref="H5" authorId="0">
      <text>
        <r>
          <rPr>
            <sz val="10"/>
            <rFont val="Arial"/>
            <family val="2"/>
          </rPr>
          <t>Converted result</t>
        </r>
      </text>
    </comment>
    <comment ref="B10" authorId="0">
      <text>
        <r>
          <rPr>
            <sz val="10"/>
            <rFont val="Arial"/>
            <family val="2"/>
          </rPr>
          <t>LL / UL</t>
        </r>
      </text>
    </comment>
    <comment ref="E11" authorId="0">
      <text>
        <r>
          <rPr>
            <sz val="9"/>
            <rFont val="Bitstream Vera Serif"/>
            <family val="1"/>
          </rPr>
          <t>Celstial body;
Sun
Moon
Star</t>
        </r>
      </text>
    </comment>
    <comment ref="A21" authorId="0">
      <text>
        <r>
          <rPr>
            <sz val="9"/>
            <rFont val="Bitstream Vera Serif"/>
            <family val="1"/>
          </rPr>
          <t>GHA = GHA0 + x(GHA1 – GHA0)</t>
        </r>
      </text>
    </comment>
    <comment ref="E21" authorId="0">
      <text>
        <r>
          <rPr>
            <sz val="9"/>
            <rFont val="Bitstream Vera Serif"/>
            <family val="1"/>
          </rPr>
          <t>Dec = Dec0 + x(Dec1 – Dec0)</t>
        </r>
      </text>
    </comment>
    <comment ref="A24" authorId="0">
      <text>
        <r>
          <rPr>
            <sz val="9"/>
            <rFont val="Bitstream Vera Serif"/>
            <family val="1"/>
          </rPr>
          <t>LHA = GHA+LON</t>
        </r>
      </text>
    </comment>
    <comment ref="E25" authorId="0">
      <text>
        <r>
          <rPr>
            <sz val="9"/>
            <rFont val="Bitstream Vera Serif"/>
            <family val="1"/>
          </rPr>
          <t>C = (cosDec) * (cosLHA)</t>
        </r>
      </text>
    </comment>
    <comment ref="E26" authorId="0">
      <text>
        <r>
          <rPr>
            <sz val="9"/>
            <rFont val="Bitstream Vera Serif"/>
            <family val="1"/>
          </rPr>
          <t>Hc = sin^(-1) * ((S*sinLAT)+(C*cosLAT))</t>
        </r>
      </text>
    </comment>
    <comment ref="F31" authorId="0">
      <text>
        <r>
          <rPr>
            <sz val="9"/>
            <rFont val="Bitstream Vera Serif"/>
            <family val="1"/>
          </rPr>
          <t>S*cosLAT</t>
        </r>
      </text>
    </comment>
    <comment ref="G31" authorId="0">
      <text>
        <r>
          <rPr>
            <sz val="9"/>
            <rFont val="Bitstream Vera Serif"/>
            <family val="1"/>
          </rPr>
          <t>C*sinLAT</t>
        </r>
      </text>
    </comment>
    <comment ref="H31" authorId="0">
      <text>
        <r>
          <rPr>
            <sz val="9"/>
            <rFont val="Bitstream Vera Serif"/>
            <family val="1"/>
          </rPr>
          <t>cos(Hc)</t>
        </r>
      </text>
    </comment>
    <comment ref="H33" authorId="0">
      <text>
        <r>
          <rPr>
            <sz val="9"/>
            <rFont val="Bitstream Vera Serif"/>
            <family val="1"/>
          </rPr>
          <t>If LHA &gt; 180° then Z = A, else Z = 360° - A</t>
        </r>
      </text>
    </comment>
    <comment ref="A35" authorId="0">
      <text>
        <r>
          <rPr>
            <sz val="9"/>
            <rFont val="Bitstream Vera Serif"/>
            <family val="1"/>
          </rPr>
          <t>0,0293*√h</t>
        </r>
      </text>
    </comment>
    <comment ref="D35" authorId="0">
      <text>
        <r>
          <rPr>
            <sz val="9"/>
            <rFont val="Bitstream Vera Serif"/>
            <family val="1"/>
          </rPr>
          <t>F = 0,28P / (T+273)</t>
        </r>
      </text>
    </comment>
    <comment ref="A36" authorId="0">
      <text>
        <r>
          <rPr>
            <sz val="9"/>
            <rFont val="Bitstream Vera Serif"/>
            <family val="1"/>
          </rPr>
          <t>0,0293*√h</t>
        </r>
      </text>
    </comment>
    <comment ref="D36" authorId="0">
      <text>
        <r>
          <rPr>
            <sz val="9"/>
            <rFont val="Bitstream Vera Serif"/>
            <family val="1"/>
          </rPr>
          <t>If T!=0 &amp; P != 0
R = fR0; else R = R0</t>
        </r>
      </text>
    </comment>
    <comment ref="A37" authorId="0">
      <text>
        <r>
          <rPr>
            <sz val="9"/>
            <rFont val="Bitstream Vera Serif"/>
            <family val="1"/>
          </rPr>
          <t>0,0167/tan(H+7,32/(H+4,32)</t>
        </r>
      </text>
    </comment>
    <comment ref="B37" authorId="0">
      <text>
        <r>
          <rPr>
            <sz val="9"/>
            <rFont val="Bitstream Vera Serif"/>
            <family val="1"/>
          </rPr>
          <t>Denominator</t>
        </r>
      </text>
    </comment>
    <comment ref="A38" authorId="0">
      <text>
        <r>
          <rPr>
            <sz val="9"/>
            <rFont val="Bitstream Vera Serif"/>
            <family val="1"/>
          </rPr>
          <t>HP*cosH</t>
        </r>
      </text>
    </comment>
    <comment ref="B38" authorId="0">
      <text>
        <r>
          <rPr>
            <sz val="9"/>
            <rFont val="Bitstream Vera Serif"/>
            <family val="1"/>
          </rPr>
          <t>cosH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4" authorId="0">
      <text>
        <r>
          <rPr>
            <sz val="10"/>
            <rFont val="Bitstream Charter"/>
            <family val="1"/>
          </rPr>
          <t>Only degrees are to be put here</t>
        </r>
      </text>
    </comment>
    <comment ref="G4" authorId="0">
      <text>
        <r>
          <rPr>
            <sz val="10"/>
            <rFont val="Bitstream Charter"/>
            <family val="1"/>
          </rPr>
          <t>Only minutes are to be put here</t>
        </r>
      </text>
    </comment>
    <comment ref="H4" authorId="0">
      <text>
        <r>
          <rPr>
            <sz val="10"/>
            <rFont val="Bitstream Charter"/>
            <family val="1"/>
          </rPr>
          <t>Converted result</t>
        </r>
      </text>
    </comment>
    <comment ref="F5" authorId="0">
      <text>
        <r>
          <rPr>
            <sz val="10"/>
            <rFont val="Bitstream Charter"/>
            <family val="1"/>
          </rPr>
          <t>Only degrees are to be put here</t>
        </r>
      </text>
    </comment>
    <comment ref="G5" authorId="0">
      <text>
        <r>
          <rPr>
            <sz val="10"/>
            <rFont val="Bitstream Charter"/>
            <family val="1"/>
          </rPr>
          <t>Only minutes are to be put here</t>
        </r>
      </text>
    </comment>
    <comment ref="H5" authorId="0">
      <text>
        <r>
          <rPr>
            <sz val="10"/>
            <rFont val="Arial"/>
            <family val="2"/>
          </rPr>
          <t>Converted result</t>
        </r>
      </text>
    </comment>
    <comment ref="E11" authorId="0">
      <text>
        <r>
          <rPr>
            <sz val="9"/>
            <rFont val="Bitstream Vera Serif"/>
            <family val="1"/>
          </rPr>
          <t>Celstial body;
Sun
Moon
Star</t>
        </r>
      </text>
    </comment>
    <comment ref="A21" authorId="0">
      <text>
        <r>
          <rPr>
            <sz val="9"/>
            <rFont val="Bitstream Vera Serif"/>
            <family val="1"/>
          </rPr>
          <t>GHA = GHA0 + x(GHA1 – GHA0)</t>
        </r>
      </text>
    </comment>
    <comment ref="E22" authorId="0">
      <text>
        <r>
          <rPr>
            <sz val="9"/>
            <rFont val="Bitstream Vera Serif"/>
            <family val="1"/>
          </rPr>
          <t>C = (cosDec) * (cosLHA)</t>
        </r>
      </text>
    </comment>
    <comment ref="E23" authorId="0">
      <text>
        <r>
          <rPr>
            <sz val="9"/>
            <rFont val="Bitstream Vera Serif"/>
            <family val="1"/>
          </rPr>
          <t>Hc = sin^(-1) * ((S*sinLAT)+(C*cosLAT))</t>
        </r>
      </text>
    </comment>
    <comment ref="A24" authorId="0">
      <text>
        <r>
          <rPr>
            <sz val="9"/>
            <rFont val="Bitstream Vera Serif"/>
            <family val="1"/>
          </rPr>
          <t>LHA = GHA+LON</t>
        </r>
      </text>
    </comment>
    <comment ref="F28" authorId="0">
      <text>
        <r>
          <rPr>
            <sz val="9"/>
            <rFont val="Bitstream Vera Serif"/>
            <family val="1"/>
          </rPr>
          <t>S*cosLAT</t>
        </r>
      </text>
    </comment>
    <comment ref="G28" authorId="0">
      <text>
        <r>
          <rPr>
            <sz val="9"/>
            <rFont val="Bitstream Vera Serif"/>
            <family val="1"/>
          </rPr>
          <t>C*sinLAT</t>
        </r>
      </text>
    </comment>
    <comment ref="H28" authorId="0">
      <text>
        <r>
          <rPr>
            <sz val="9"/>
            <rFont val="Bitstream Vera Serif"/>
            <family val="1"/>
          </rPr>
          <t>cos(Hc)</t>
        </r>
      </text>
    </comment>
    <comment ref="H30" authorId="0">
      <text>
        <r>
          <rPr>
            <sz val="9"/>
            <rFont val="Bitstream Vera Serif"/>
            <family val="1"/>
          </rPr>
          <t>If LHA &gt; 180° then Z = A, else Z = 360° - A</t>
        </r>
      </text>
    </comment>
    <comment ref="A35" authorId="0">
      <text>
        <r>
          <rPr>
            <sz val="9"/>
            <rFont val="Bitstream Vera Serif"/>
            <family val="1"/>
          </rPr>
          <t>0,0293*√h</t>
        </r>
      </text>
    </comment>
    <comment ref="D35" authorId="0">
      <text>
        <r>
          <rPr>
            <sz val="9"/>
            <rFont val="Bitstream Vera Serif"/>
            <family val="1"/>
          </rPr>
          <t>F = 0,28P / (T+273)</t>
        </r>
      </text>
    </comment>
    <comment ref="A36" authorId="0">
      <text>
        <r>
          <rPr>
            <sz val="9"/>
            <rFont val="Bitstream Vera Serif"/>
            <family val="1"/>
          </rPr>
          <t>0,0293*√h</t>
        </r>
      </text>
    </comment>
    <comment ref="D36" authorId="0">
      <text>
        <r>
          <rPr>
            <sz val="9"/>
            <rFont val="Bitstream Vera Serif"/>
            <family val="1"/>
          </rPr>
          <t>If T!=0 &amp; P != 0
R = fR0; else R = R0</t>
        </r>
      </text>
    </comment>
    <comment ref="A37" authorId="0">
      <text>
        <r>
          <rPr>
            <sz val="9"/>
            <rFont val="Bitstream Vera Serif"/>
            <family val="1"/>
          </rPr>
          <t>0,0167/tan(H+7,32/(H+4,32)</t>
        </r>
      </text>
    </comment>
    <comment ref="B37" authorId="0">
      <text>
        <r>
          <rPr>
            <sz val="9"/>
            <rFont val="Bitstream Vera Serif"/>
            <family val="1"/>
          </rPr>
          <t>Denominator</t>
        </r>
      </text>
    </comment>
    <comment ref="A38" authorId="0">
      <text>
        <r>
          <rPr>
            <sz val="9"/>
            <rFont val="Bitstream Vera Serif"/>
            <family val="1"/>
          </rPr>
          <t>HP*cosH</t>
        </r>
      </text>
    </comment>
    <comment ref="B38" authorId="0">
      <text>
        <r>
          <rPr>
            <sz val="9"/>
            <rFont val="Bitstream Vera Serif"/>
            <family val="1"/>
          </rPr>
          <t>cosH</t>
        </r>
      </text>
    </comment>
  </commentList>
</comments>
</file>

<file path=xl/sharedStrings.xml><?xml version="1.0" encoding="utf-8"?>
<sst xmlns="http://schemas.openxmlformats.org/spreadsheetml/2006/main" count="131" uniqueCount="66">
  <si>
    <t>ENTER BASIC DATA</t>
  </si>
  <si>
    <t>Time of observation</t>
  </si>
  <si>
    <t>Approximate coordinates</t>
  </si>
  <si>
    <t>HH</t>
  </si>
  <si>
    <t>mm</t>
  </si>
  <si>
    <t>ss</t>
  </si>
  <si>
    <t>LAT</t>
  </si>
  <si>
    <t>LON</t>
  </si>
  <si>
    <t>Observed altitudes</t>
  </si>
  <si>
    <t xml:space="preserve">Speed = </t>
  </si>
  <si>
    <t xml:space="preserve">Eye hgt = </t>
  </si>
  <si>
    <t>Hs No1</t>
  </si>
  <si>
    <t xml:space="preserve">Course = </t>
  </si>
  <si>
    <t xml:space="preserve">I = </t>
  </si>
  <si>
    <t>x = (mm/60) + (ss/3600)</t>
  </si>
  <si>
    <t xml:space="preserve">Temp. = </t>
  </si>
  <si>
    <t>HP =</t>
  </si>
  <si>
    <t>Limb</t>
  </si>
  <si>
    <t>LL</t>
  </si>
  <si>
    <t>Pressure =</t>
  </si>
  <si>
    <t xml:space="preserve">SHA = </t>
  </si>
  <si>
    <t xml:space="preserve">CB = </t>
  </si>
  <si>
    <t>Moon</t>
  </si>
  <si>
    <t xml:space="preserve">SD = </t>
  </si>
  <si>
    <t>Enter 'GHA' data:</t>
  </si>
  <si>
    <t>Enter 'Dec' data</t>
  </si>
  <si>
    <t>DGR</t>
  </si>
  <si>
    <t>MIN</t>
  </si>
  <si>
    <t>Hemisphere</t>
  </si>
  <si>
    <t xml:space="preserve">GHA0 = </t>
  </si>
  <si>
    <t xml:space="preserve">Dec0 = </t>
  </si>
  <si>
    <t>S</t>
  </si>
  <si>
    <t xml:space="preserve">GHA1 = </t>
  </si>
  <si>
    <t xml:space="preserve">Dec1 = </t>
  </si>
  <si>
    <t>DIRECT COMPUTATIONS</t>
  </si>
  <si>
    <t>GHA0_1 =</t>
  </si>
  <si>
    <t xml:space="preserve">Dec0_1 = </t>
  </si>
  <si>
    <t>GHA1_1 =</t>
  </si>
  <si>
    <t>Dec1_1 =</t>
  </si>
  <si>
    <t xml:space="preserve">GHA = </t>
  </si>
  <si>
    <t>Dec =</t>
  </si>
  <si>
    <t>LHA =</t>
  </si>
  <si>
    <t xml:space="preserve">S = </t>
  </si>
  <si>
    <t xml:space="preserve">sinLAT = </t>
  </si>
  <si>
    <t xml:space="preserve">C = </t>
  </si>
  <si>
    <t xml:space="preserve">cosLAT = </t>
  </si>
  <si>
    <t>Hc =</t>
  </si>
  <si>
    <t>Intermediate results</t>
  </si>
  <si>
    <t xml:space="preserve">Hc = </t>
  </si>
  <si>
    <t xml:space="preserve">Z = </t>
  </si>
  <si>
    <t xml:space="preserve">X = </t>
  </si>
  <si>
    <t xml:space="preserve">D = </t>
  </si>
  <si>
    <r>
      <t>f</t>
    </r>
    <r>
      <rPr>
        <b/>
        <sz val="11"/>
        <rFont val="Bitstream Vera Serif"/>
        <family val="1"/>
      </rPr>
      <t xml:space="preserve"> = </t>
    </r>
  </si>
  <si>
    <t>Sun</t>
  </si>
  <si>
    <t xml:space="preserve">H = </t>
  </si>
  <si>
    <t>R =</t>
  </si>
  <si>
    <t xml:space="preserve">R0 = </t>
  </si>
  <si>
    <t>HP</t>
  </si>
  <si>
    <t xml:space="preserve">PA = </t>
  </si>
  <si>
    <t xml:space="preserve">Ho = </t>
  </si>
  <si>
    <r>
      <t xml:space="preserve">Intercept </t>
    </r>
    <r>
      <rPr>
        <i/>
        <sz val="11"/>
        <rFont val="Bitstream Vera Serif"/>
        <family val="1"/>
      </rPr>
      <t>p:</t>
    </r>
  </si>
  <si>
    <t>=</t>
  </si>
  <si>
    <t>SHA =</t>
  </si>
  <si>
    <t>Star</t>
  </si>
  <si>
    <t xml:space="preserve">Dec = </t>
  </si>
  <si>
    <t>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</si>
</sst>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.0"/>
    <numFmt numFmtId="166" formatCode="0.0000"/>
    <numFmt numFmtId="167" formatCode="000"/>
    <numFmt numFmtId="168" formatCode="0.0"/>
  </numFmts>
  <fonts count="14">
    <font>
      <sz val="10"/>
      <name val="Arial"/>
      <family val="2"/>
    </font>
    <font>
      <sz val="11"/>
      <name val="Bitstream Vera Serif"/>
      <family val="1"/>
    </font>
    <font>
      <b/>
      <sz val="20"/>
      <name val="Binner_Di"/>
      <family val="0"/>
    </font>
    <font>
      <b/>
      <sz val="11"/>
      <name val="Bitstream Vera Serif"/>
      <family val="1"/>
    </font>
    <font>
      <sz val="10"/>
      <name val="Bitstream Charter"/>
      <family val="1"/>
    </font>
    <font>
      <sz val="2"/>
      <name val="Bitstream Vera Serif"/>
      <family val="1"/>
    </font>
    <font>
      <sz val="9"/>
      <name val="Bitstream Vera Serif"/>
      <family val="1"/>
    </font>
    <font>
      <b/>
      <i/>
      <sz val="11"/>
      <name val="Bitstream Vera Serif"/>
      <family val="1"/>
    </font>
    <font>
      <b/>
      <sz val="8"/>
      <name val="Bitstream Vera Serif"/>
      <family val="1"/>
    </font>
    <font>
      <b/>
      <sz val="2"/>
      <name val="Bitstream Vera Serif"/>
      <family val="1"/>
    </font>
    <font>
      <b/>
      <sz val="10"/>
      <name val="Bitstream Vera Serif"/>
      <family val="1"/>
    </font>
    <font>
      <i/>
      <sz val="11"/>
      <name val="Bitstream Vera Serif"/>
      <family val="1"/>
    </font>
    <font>
      <b/>
      <i/>
      <sz val="10.5"/>
      <name val="Bitstream Vera Serif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7" fontId="1" fillId="0" borderId="1" xfId="0" applyNumberFormat="1" applyFont="1" applyBorder="1" applyAlignment="1">
      <alignment/>
    </xf>
    <xf numFmtId="164" fontId="3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5" fillId="0" borderId="0" xfId="0" applyFont="1" applyAlignment="1">
      <alignment/>
    </xf>
    <xf numFmtId="164" fontId="3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3" fillId="0" borderId="6" xfId="0" applyFont="1" applyBorder="1" applyAlignment="1">
      <alignment horizontal="center" vertical="center" shrinkToFit="1"/>
    </xf>
    <xf numFmtId="166" fontId="1" fillId="0" borderId="7" xfId="0" applyNumberFormat="1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5" xfId="0" applyFont="1" applyBorder="1" applyAlignment="1" applyProtection="1">
      <alignment/>
      <protection hidden="1"/>
    </xf>
    <xf numFmtId="164" fontId="3" fillId="0" borderId="0" xfId="0" applyFont="1" applyAlignment="1">
      <alignment/>
    </xf>
    <xf numFmtId="164" fontId="0" fillId="0" borderId="5" xfId="0" applyBorder="1" applyAlignment="1">
      <alignment/>
    </xf>
    <xf numFmtId="164" fontId="3" fillId="0" borderId="8" xfId="0" applyFont="1" applyBorder="1" applyAlignment="1">
      <alignment/>
    </xf>
    <xf numFmtId="164" fontId="1" fillId="0" borderId="9" xfId="0" applyFont="1" applyBorder="1" applyAlignment="1">
      <alignment horizontal="center"/>
    </xf>
    <xf numFmtId="164" fontId="0" fillId="0" borderId="9" xfId="0" applyBorder="1" applyAlignment="1">
      <alignment/>
    </xf>
    <xf numFmtId="164" fontId="7" fillId="0" borderId="0" xfId="0" applyFont="1" applyAlignment="1">
      <alignment/>
    </xf>
    <xf numFmtId="164" fontId="3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4" fontId="3" fillId="0" borderId="10" xfId="0" applyFont="1" applyBorder="1" applyAlignment="1">
      <alignment horizontal="center" vertical="center"/>
    </xf>
    <xf numFmtId="164" fontId="9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5" fillId="0" borderId="0" xfId="0" applyFont="1" applyAlignment="1">
      <alignment horizontal="right"/>
    </xf>
    <xf numFmtId="165" fontId="3" fillId="0" borderId="0" xfId="0" applyNumberFormat="1" applyFont="1" applyAlignment="1">
      <alignment horizontal="right" shrinkToFit="1"/>
    </xf>
    <xf numFmtId="164" fontId="7" fillId="0" borderId="0" xfId="0" applyFont="1" applyAlignment="1">
      <alignment horizontal="left" vertical="center"/>
    </xf>
    <xf numFmtId="164" fontId="1" fillId="0" borderId="5" xfId="0" applyFont="1" applyBorder="1" applyAlignment="1">
      <alignment horizontal="left"/>
    </xf>
    <xf numFmtId="165" fontId="7" fillId="0" borderId="11" xfId="0" applyNumberFormat="1" applyFont="1" applyBorder="1" applyAlignment="1">
      <alignment horizontal="left" vertical="center"/>
    </xf>
    <xf numFmtId="164" fontId="1" fillId="0" borderId="9" xfId="0" applyFont="1" applyBorder="1" applyAlignment="1">
      <alignment horizontal="left"/>
    </xf>
    <xf numFmtId="164" fontId="1" fillId="0" borderId="11" xfId="0" applyFont="1" applyBorder="1" applyAlignment="1">
      <alignment/>
    </xf>
    <xf numFmtId="166" fontId="3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4" fontId="1" fillId="0" borderId="2" xfId="0" applyFont="1" applyBorder="1" applyAlignment="1">
      <alignment/>
    </xf>
    <xf numFmtId="166" fontId="1" fillId="0" borderId="3" xfId="0" applyNumberFormat="1" applyFont="1" applyBorder="1" applyAlignment="1">
      <alignment/>
    </xf>
    <xf numFmtId="164" fontId="1" fillId="0" borderId="8" xfId="0" applyFont="1" applyBorder="1" applyAlignment="1">
      <alignment/>
    </xf>
    <xf numFmtId="166" fontId="1" fillId="0" borderId="9" xfId="0" applyNumberFormat="1" applyFont="1" applyBorder="1" applyAlignment="1">
      <alignment/>
    </xf>
    <xf numFmtId="166" fontId="3" fillId="0" borderId="5" xfId="0" applyNumberFormat="1" applyFont="1" applyBorder="1" applyAlignment="1">
      <alignment/>
    </xf>
    <xf numFmtId="164" fontId="10" fillId="0" borderId="0" xfId="0" applyFont="1" applyAlignment="1">
      <alignment/>
    </xf>
    <xf numFmtId="164" fontId="5" fillId="0" borderId="5" xfId="0" applyFont="1" applyBorder="1" applyAlignment="1">
      <alignment/>
    </xf>
    <xf numFmtId="164" fontId="1" fillId="0" borderId="0" xfId="0" applyFont="1" applyAlignment="1">
      <alignment horizontal="center" vertical="center"/>
    </xf>
    <xf numFmtId="164" fontId="12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5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6">
      <selection activeCell="G41" sqref="G41"/>
    </sheetView>
  </sheetViews>
  <sheetFormatPr defaultColWidth="12.57421875" defaultRowHeight="12.75"/>
  <cols>
    <col min="1" max="3" width="11.57421875" style="1" customWidth="1"/>
    <col min="4" max="4" width="4.7109375" style="1" customWidth="1"/>
    <col min="5" max="5" width="11.7109375" style="1" customWidth="1"/>
    <col min="6" max="6" width="11.57421875" style="1" customWidth="1"/>
    <col min="7" max="7" width="12.140625" style="1" customWidth="1"/>
    <col min="8" max="8" width="10.421875" style="1" customWidth="1"/>
    <col min="9" max="9" width="14.7109375" style="1" customWidth="1"/>
    <col min="10" max="11" width="11.57421875" style="1" customWidth="1"/>
    <col min="12" max="12" width="4.57421875" style="1" customWidth="1"/>
    <col min="13" max="16384" width="11.57421875" style="1" customWidth="1"/>
  </cols>
  <sheetData>
    <row r="1" spans="4:16" ht="24.75">
      <c r="D1" s="2" t="s">
        <v>0</v>
      </c>
      <c r="I1"/>
      <c r="J1"/>
      <c r="K1"/>
      <c r="L1"/>
      <c r="M1"/>
      <c r="N1"/>
      <c r="O1"/>
      <c r="P1"/>
    </row>
    <row r="2" spans="9:16" ht="13.5">
      <c r="I2"/>
      <c r="J2"/>
      <c r="K2"/>
      <c r="L2"/>
      <c r="M2"/>
      <c r="N2"/>
      <c r="O2"/>
      <c r="P2"/>
    </row>
    <row r="3" spans="1:16" ht="13.5">
      <c r="A3" s="3" t="s">
        <v>1</v>
      </c>
      <c r="B3" s="3"/>
      <c r="C3" s="3"/>
      <c r="E3" s="3" t="s">
        <v>2</v>
      </c>
      <c r="F3" s="3"/>
      <c r="G3" s="3"/>
      <c r="I3"/>
      <c r="J3"/>
      <c r="K3"/>
      <c r="L3"/>
      <c r="M3"/>
      <c r="N3"/>
      <c r="O3"/>
      <c r="P3"/>
    </row>
    <row r="4" spans="1:16" ht="13.5">
      <c r="A4" s="4" t="s">
        <v>3</v>
      </c>
      <c r="B4" s="4" t="s">
        <v>4</v>
      </c>
      <c r="C4" s="4" t="s">
        <v>5</v>
      </c>
      <c r="E4" s="5" t="s">
        <v>6</v>
      </c>
      <c r="F4" s="6">
        <v>14</v>
      </c>
      <c r="G4" s="7">
        <v>6.9</v>
      </c>
      <c r="H4" s="8">
        <f>F4+(G4/60)</f>
        <v>14.115</v>
      </c>
      <c r="I4"/>
      <c r="J4"/>
      <c r="K4"/>
      <c r="L4"/>
      <c r="M4"/>
      <c r="N4"/>
      <c r="O4"/>
      <c r="P4"/>
    </row>
    <row r="5" spans="1:16" ht="13.5">
      <c r="A5" s="6">
        <v>21</v>
      </c>
      <c r="B5" s="6">
        <v>48</v>
      </c>
      <c r="C5" s="6">
        <v>55</v>
      </c>
      <c r="E5" s="5" t="s">
        <v>7</v>
      </c>
      <c r="F5" s="9">
        <v>-17</v>
      </c>
      <c r="G5" s="7">
        <v>-37.9</v>
      </c>
      <c r="H5" s="8">
        <f>(F5+(G5/60))</f>
        <v>-17.631666666666668</v>
      </c>
      <c r="I5"/>
      <c r="J5"/>
      <c r="K5"/>
      <c r="L5"/>
      <c r="M5"/>
      <c r="N5"/>
      <c r="O5"/>
      <c r="P5"/>
    </row>
    <row r="6" spans="9:16" ht="13.5">
      <c r="I6"/>
      <c r="J6"/>
      <c r="K6"/>
      <c r="L6"/>
      <c r="M6"/>
      <c r="N6"/>
      <c r="O6"/>
      <c r="P6"/>
    </row>
    <row r="7" spans="1:16" ht="13.5">
      <c r="A7" s="3" t="s">
        <v>8</v>
      </c>
      <c r="B7" s="3"/>
      <c r="C7" s="3"/>
      <c r="E7" s="10" t="s">
        <v>9</v>
      </c>
      <c r="F7" s="11">
        <v>11.2</v>
      </c>
      <c r="G7" s="10" t="s">
        <v>10</v>
      </c>
      <c r="H7" s="11">
        <v>23.2</v>
      </c>
      <c r="I7"/>
      <c r="J7"/>
      <c r="K7"/>
      <c r="L7"/>
      <c r="M7"/>
      <c r="N7"/>
      <c r="O7"/>
      <c r="P7"/>
    </row>
    <row r="8" spans="1:16" ht="13.5">
      <c r="A8" s="5" t="s">
        <v>11</v>
      </c>
      <c r="B8" s="6">
        <v>37</v>
      </c>
      <c r="C8" s="7">
        <v>3</v>
      </c>
      <c r="D8" s="12">
        <f>B8+(C8/60)</f>
        <v>37.05</v>
      </c>
      <c r="E8" s="13" t="s">
        <v>12</v>
      </c>
      <c r="F8" s="14">
        <v>0</v>
      </c>
      <c r="G8" s="13" t="s">
        <v>13</v>
      </c>
      <c r="H8" s="14">
        <v>0</v>
      </c>
      <c r="I8"/>
      <c r="J8"/>
      <c r="K8"/>
      <c r="L8"/>
      <c r="M8"/>
      <c r="N8"/>
      <c r="O8"/>
      <c r="P8"/>
    </row>
    <row r="9" spans="1:16" ht="14.25">
      <c r="A9" s="15" t="s">
        <v>14</v>
      </c>
      <c r="B9" s="15"/>
      <c r="C9" s="16">
        <f>(B5/60)+(C5/3600)</f>
        <v>0.8152777777777778</v>
      </c>
      <c r="E9" s="13" t="s">
        <v>15</v>
      </c>
      <c r="F9" s="17">
        <v>27</v>
      </c>
      <c r="G9" s="13" t="s">
        <v>16</v>
      </c>
      <c r="H9" s="18">
        <v>54.3</v>
      </c>
      <c r="I9"/>
      <c r="J9"/>
      <c r="K9"/>
      <c r="L9"/>
      <c r="M9"/>
      <c r="N9"/>
      <c r="O9"/>
      <c r="P9"/>
    </row>
    <row r="10" spans="1:16" ht="14.25">
      <c r="A10" s="19" t="s">
        <v>17</v>
      </c>
      <c r="B10" s="1" t="s">
        <v>18</v>
      </c>
      <c r="C10"/>
      <c r="E10" s="13" t="s">
        <v>19</v>
      </c>
      <c r="F10" s="14">
        <v>1017</v>
      </c>
      <c r="G10" s="13" t="s">
        <v>20</v>
      </c>
      <c r="H10" s="20">
        <v>0</v>
      </c>
      <c r="I10"/>
      <c r="J10"/>
      <c r="K10"/>
      <c r="L10"/>
      <c r="M10"/>
      <c r="N10"/>
      <c r="O10"/>
      <c r="P10"/>
    </row>
    <row r="11" spans="1:16" ht="14.25">
      <c r="A11"/>
      <c r="B11"/>
      <c r="C11"/>
      <c r="E11" s="21" t="s">
        <v>21</v>
      </c>
      <c r="F11" s="22" t="s">
        <v>22</v>
      </c>
      <c r="G11" s="21" t="s">
        <v>23</v>
      </c>
      <c r="H11" s="23">
        <v>0</v>
      </c>
      <c r="I11"/>
      <c r="J11"/>
      <c r="K11"/>
      <c r="L11"/>
      <c r="M11"/>
      <c r="N11"/>
      <c r="O11"/>
      <c r="P11"/>
    </row>
    <row r="12" ht="14.25"/>
    <row r="13" spans="1:5" ht="14.25">
      <c r="A13" s="24" t="s">
        <v>24</v>
      </c>
      <c r="E13" s="24" t="s">
        <v>25</v>
      </c>
    </row>
    <row r="14" spans="1:8" ht="14.25">
      <c r="A14"/>
      <c r="B14" s="25" t="s">
        <v>26</v>
      </c>
      <c r="C14" s="25" t="s">
        <v>27</v>
      </c>
      <c r="F14" s="25" t="s">
        <v>26</v>
      </c>
      <c r="G14" s="25" t="s">
        <v>27</v>
      </c>
      <c r="H14" s="26" t="s">
        <v>28</v>
      </c>
    </row>
    <row r="15" spans="1:8" ht="14.25">
      <c r="A15" s="19" t="s">
        <v>29</v>
      </c>
      <c r="B15" s="1">
        <v>46</v>
      </c>
      <c r="C15" s="1">
        <v>21.8</v>
      </c>
      <c r="E15" s="19" t="s">
        <v>30</v>
      </c>
      <c r="F15" s="1">
        <v>19</v>
      </c>
      <c r="G15" s="27">
        <v>26.3</v>
      </c>
      <c r="H15" s="1" t="s">
        <v>31</v>
      </c>
    </row>
    <row r="16" spans="1:8" ht="14.25">
      <c r="A16" s="19" t="s">
        <v>32</v>
      </c>
      <c r="B16" s="1">
        <v>60</v>
      </c>
      <c r="C16" s="1">
        <v>54.4</v>
      </c>
      <c r="E16" s="19" t="s">
        <v>33</v>
      </c>
      <c r="F16" s="1">
        <v>19</v>
      </c>
      <c r="G16" s="27">
        <v>17.3</v>
      </c>
      <c r="H16" s="1" t="s">
        <v>31</v>
      </c>
    </row>
    <row r="17" spans="1:8" ht="14.25">
      <c r="A17" s="28" t="s">
        <v>34</v>
      </c>
      <c r="B17" s="28"/>
      <c r="C17" s="28"/>
      <c r="D17" s="28"/>
      <c r="E17" s="28"/>
      <c r="F17" s="28"/>
      <c r="G17" s="28"/>
      <c r="H17" s="28"/>
    </row>
    <row r="18" spans="1:6" ht="14.25">
      <c r="A18" s="19" t="s">
        <v>35</v>
      </c>
      <c r="B18" s="8">
        <f>B15+(C15/60)</f>
        <v>46.36333333333334</v>
      </c>
      <c r="E18" s="19" t="s">
        <v>36</v>
      </c>
      <c r="F18" s="8">
        <f>IF(LOWER(H15)="s",-(F15+(G15/60)),F15+(G15/60))</f>
        <v>-19.438333333333333</v>
      </c>
    </row>
    <row r="19" spans="1:6" ht="13.5">
      <c r="A19" s="19" t="s">
        <v>37</v>
      </c>
      <c r="B19" s="8">
        <f>B16+(C16/60)</f>
        <v>60.906666666666666</v>
      </c>
      <c r="E19" s="19" t="s">
        <v>38</v>
      </c>
      <c r="F19" s="8">
        <f>IF(LOWER(H16)="s",-(F16+(G16/60)),F16+(G16/60))</f>
        <v>-19.288333333333334</v>
      </c>
    </row>
    <row r="20" spans="1:2" ht="13.5">
      <c r="A20"/>
      <c r="B20"/>
    </row>
    <row r="21" spans="1:7" ht="13.5">
      <c r="A21" s="19" t="s">
        <v>39</v>
      </c>
      <c r="B21" s="8">
        <f>B18</f>
        <v>46.36333333333334</v>
      </c>
      <c r="C21" s="8">
        <f>(C9*(B19-B18))</f>
        <v>11.856856481481477</v>
      </c>
      <c r="E21" s="19" t="s">
        <v>40</v>
      </c>
      <c r="F21" s="8">
        <f>F18</f>
        <v>-19.438333333333333</v>
      </c>
      <c r="G21" s="8">
        <f>(C9*(F19-F18))</f>
        <v>0.12229166666666551</v>
      </c>
    </row>
    <row r="22" spans="2:7" ht="13.5">
      <c r="B22" s="29">
        <f>B21+C21</f>
        <v>58.220189814814816</v>
      </c>
      <c r="C22" s="30">
        <f>IF(B22&gt;360,B22-360,B22)</f>
        <v>58.220189814814816</v>
      </c>
      <c r="G22" s="30">
        <f>F21+C9*(F19-F18)</f>
        <v>-19.316041666666667</v>
      </c>
    </row>
    <row r="24" spans="1:6" ht="13.5">
      <c r="A24" s="19" t="s">
        <v>41</v>
      </c>
      <c r="B24" s="30">
        <f>C22+H5</f>
        <v>40.58852314814815</v>
      </c>
      <c r="E24" s="19" t="s">
        <v>42</v>
      </c>
      <c r="F24" s="30">
        <f>SIN(RADIANS(G22))</f>
        <v>-0.33077862505230426</v>
      </c>
    </row>
    <row r="25" spans="1:8" ht="13.5">
      <c r="A25" s="19" t="s">
        <v>43</v>
      </c>
      <c r="B25" s="30">
        <f>SIN(RADIANS(H4))</f>
        <v>0.24386891533441232</v>
      </c>
      <c r="E25" s="19" t="s">
        <v>44</v>
      </c>
      <c r="F25" s="8">
        <f>COS(RADIANS(G22))</f>
        <v>0.9437083772058543</v>
      </c>
      <c r="G25" s="8">
        <f>COS(RADIANS(B24))</f>
        <v>0.7594016479383944</v>
      </c>
      <c r="H25" s="30">
        <f>F25*G25</f>
        <v>0.7166536968233936</v>
      </c>
    </row>
    <row r="26" spans="1:10" ht="13.5">
      <c r="A26" s="19" t="s">
        <v>45</v>
      </c>
      <c r="B26" s="30">
        <f>COS(RADIANS(H4))</f>
        <v>0.9698082037875413</v>
      </c>
      <c r="E26" s="19" t="s">
        <v>46</v>
      </c>
      <c r="F26" s="8">
        <f>F24*SIN(RADIANS(H4))</f>
        <v>-0.08066662450731371</v>
      </c>
      <c r="G26" s="8">
        <f>H25*COS(RADIANS(H4))</f>
        <v>0.6950166344539965</v>
      </c>
      <c r="H26" s="8">
        <f>F26+G26</f>
        <v>0.6143500099466828</v>
      </c>
      <c r="J26" s="8"/>
    </row>
    <row r="27" ht="13.5">
      <c r="H27" s="30">
        <f>ASIN(H26)</f>
        <v>0.6615619221376834</v>
      </c>
    </row>
    <row r="28" spans="5:8" ht="13.5">
      <c r="E28" s="19" t="s">
        <v>46</v>
      </c>
      <c r="F28" s="8">
        <f>DEGREES(H27)</f>
        <v>37.904706025051645</v>
      </c>
      <c r="G28" s="31" t="str">
        <f>MID(F28,1,2)</f>
        <v>37</v>
      </c>
      <c r="H28" s="31">
        <f>MID(F28,4,4)*0.006</f>
        <v>54.282000000000004</v>
      </c>
    </row>
    <row r="29" spans="1:10" ht="13.5">
      <c r="A29" s="3" t="s">
        <v>47</v>
      </c>
      <c r="B29" s="3"/>
      <c r="C29" s="3"/>
      <c r="F29" s="32" t="str">
        <f>G28&amp;"° "&amp;TEXT(H28,"##,#")</f>
        <v>37° 54,3</v>
      </c>
      <c r="J29" s="8"/>
    </row>
    <row r="30" spans="1:3" ht="13.5">
      <c r="A30" s="13" t="s">
        <v>48</v>
      </c>
      <c r="B30" s="33" t="str">
        <f>F29</f>
        <v>37° 54,3</v>
      </c>
      <c r="C30" s="34"/>
    </row>
    <row r="31" spans="1:8" ht="13.5">
      <c r="A31" s="21" t="s">
        <v>49</v>
      </c>
      <c r="B31" s="35">
        <f>H33</f>
        <v>231.09277634543577</v>
      </c>
      <c r="C31" s="36"/>
      <c r="E31" s="19" t="s">
        <v>50</v>
      </c>
      <c r="F31" s="8">
        <f>F24*B26</f>
        <v>-0.3207918242132878</v>
      </c>
      <c r="G31" s="8">
        <f>H25*B25</f>
        <v>0.17476955971471778</v>
      </c>
      <c r="H31" s="8">
        <f>COS(H27)</f>
        <v>0.7890336274700279</v>
      </c>
    </row>
    <row r="32" ht="13.5">
      <c r="H32" s="8">
        <f>(F31-G31)/H31</f>
        <v>-0.6280611708742792</v>
      </c>
    </row>
    <row r="33" spans="1:8" ht="14.25">
      <c r="A33" s="37"/>
      <c r="B33" s="37"/>
      <c r="C33" s="37"/>
      <c r="D33" s="37"/>
      <c r="E33" s="37"/>
      <c r="F33" s="37"/>
      <c r="G33" s="38">
        <f>DEGREES(ACOS(H32))</f>
        <v>128.90722365456423</v>
      </c>
      <c r="H33" s="39">
        <f>IF(B24&gt;180,G33,360-G33)</f>
        <v>231.09277634543577</v>
      </c>
    </row>
    <row r="34" ht="14.25"/>
    <row r="35" spans="1:8" ht="14.25">
      <c r="A35" s="19" t="s">
        <v>51</v>
      </c>
      <c r="B35" s="8">
        <f>0.0293*(SQRT(H7))</f>
        <v>0.14112748846344572</v>
      </c>
      <c r="C35" s="14"/>
      <c r="D35" s="24" t="s">
        <v>52</v>
      </c>
      <c r="E35" s="8">
        <f>(0.28*F10)/(F9+273)</f>
        <v>0.9492000000000002</v>
      </c>
      <c r="G35" s="40" t="s">
        <v>53</v>
      </c>
      <c r="H35" s="41">
        <f>H11/60</f>
        <v>0</v>
      </c>
    </row>
    <row r="36" spans="1:8" ht="13.5">
      <c r="A36" s="19" t="s">
        <v>54</v>
      </c>
      <c r="B36" s="8">
        <f>D8+H8-B35</f>
        <v>36.90887251153655</v>
      </c>
      <c r="C36" s="14"/>
      <c r="D36" s="19" t="s">
        <v>55</v>
      </c>
      <c r="E36" s="8">
        <f>IF(AND(F9=0,F10=0),C37,E35*C37)</f>
        <v>0.020969955557250536</v>
      </c>
      <c r="G36" s="42" t="s">
        <v>22</v>
      </c>
      <c r="H36" s="43">
        <f>0.2724*E37</f>
        <v>0.24652200000000002</v>
      </c>
    </row>
    <row r="37" spans="1:10" ht="14.25">
      <c r="A37" s="19" t="s">
        <v>56</v>
      </c>
      <c r="B37" s="8">
        <f>B36+7.32/(B36+4.32)</f>
        <v>37.08641799250869</v>
      </c>
      <c r="C37" s="44">
        <f>0.0167/TAN(RADIANS(B37))</f>
        <v>0.022092241421460736</v>
      </c>
      <c r="D37" s="19" t="s">
        <v>57</v>
      </c>
      <c r="E37" s="8">
        <f>H9/60</f>
        <v>0.9049999999999999</v>
      </c>
      <c r="J37" s="8"/>
    </row>
    <row r="38" spans="1:5" ht="14.25">
      <c r="A38" s="19" t="s">
        <v>58</v>
      </c>
      <c r="B38" s="8">
        <f>COS(RADIANS(B36))</f>
        <v>0.7995916711019322</v>
      </c>
      <c r="C38" s="44">
        <f>E37*B38</f>
        <v>0.7236304623472486</v>
      </c>
      <c r="D38" s="45" t="s">
        <v>42</v>
      </c>
      <c r="E38" s="8">
        <f>IF(LOWER(F11)="moon",IF(LOWER(F11)="star",0,H36),IF(LOWER(F11)="sun",H35,"?"))</f>
        <v>0.24652200000000002</v>
      </c>
    </row>
    <row r="39" ht="14.25">
      <c r="C39" s="14"/>
    </row>
    <row r="40" spans="1:6" ht="14.25">
      <c r="A40" s="19" t="s">
        <v>59</v>
      </c>
      <c r="B40" s="8">
        <f>B36-E36+C38+E38</f>
        <v>37.85805501832655</v>
      </c>
      <c r="C40" s="46">
        <f>MID(B40,4,4)*0.006</f>
        <v>51.480000000000004</v>
      </c>
      <c r="E40" s="47" t="s">
        <v>60</v>
      </c>
      <c r="F40" s="47"/>
    </row>
    <row r="41" spans="2:8" ht="14.25">
      <c r="B41" s="48" t="str">
        <f>MID(B40,1,2)&amp;"° "&amp;TEXT(C40,"##,#")</f>
        <v>37° 51,5</v>
      </c>
      <c r="C41" s="20"/>
      <c r="E41" s="8">
        <f>B40-F28</f>
        <v>-0.04665100672509226</v>
      </c>
      <c r="F41" s="49" t="s">
        <v>61</v>
      </c>
      <c r="G41" s="50">
        <f>E41*60</f>
        <v>-2.7990604035055355</v>
      </c>
      <c r="H41" s="49" t="str">
        <f>IF(CODE(G41)=45,"Away","Fwd")</f>
        <v>Away</v>
      </c>
    </row>
    <row r="52" ht="14.25"/>
  </sheetData>
  <sheetProtection selectLockedCells="1" selectUnlockedCells="1"/>
  <mergeCells count="7">
    <mergeCell ref="A3:C3"/>
    <mergeCell ref="E3:G3"/>
    <mergeCell ref="A7:C7"/>
    <mergeCell ref="A9:B9"/>
    <mergeCell ref="A17:H17"/>
    <mergeCell ref="A29:C29"/>
    <mergeCell ref="E40:F40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&amp;C&amp;"Jungle,Normal"&amp;A</oddHeader>
    <oddFooter>&amp;C&amp;"Jungle,Normal"Страница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20">
      <selection activeCell="I36" sqref="I36"/>
    </sheetView>
  </sheetViews>
  <sheetFormatPr defaultColWidth="12.57421875" defaultRowHeight="12.75"/>
  <cols>
    <col min="1" max="3" width="11.57421875" style="1" customWidth="1"/>
    <col min="4" max="4" width="4.7109375" style="1" customWidth="1"/>
    <col min="5" max="5" width="11.7109375" style="1" customWidth="1"/>
    <col min="6" max="6" width="11.57421875" style="1" customWidth="1"/>
    <col min="7" max="7" width="12.140625" style="1" customWidth="1"/>
    <col min="8" max="8" width="10.421875" style="1" customWidth="1"/>
    <col min="9" max="9" width="14.7109375" style="1" customWidth="1"/>
    <col min="10" max="11" width="11.57421875" style="1" customWidth="1"/>
    <col min="12" max="12" width="4.57421875" style="1" customWidth="1"/>
    <col min="13" max="16384" width="11.57421875" style="1" customWidth="1"/>
  </cols>
  <sheetData>
    <row r="1" spans="4:16" ht="24.75">
      <c r="D1" s="2" t="s">
        <v>0</v>
      </c>
      <c r="I1"/>
      <c r="J1"/>
      <c r="K1"/>
      <c r="L1"/>
      <c r="M1"/>
      <c r="N1"/>
      <c r="O1"/>
      <c r="P1"/>
    </row>
    <row r="2" spans="9:16" ht="13.5">
      <c r="I2"/>
      <c r="J2"/>
      <c r="K2"/>
      <c r="L2"/>
      <c r="M2"/>
      <c r="N2"/>
      <c r="O2"/>
      <c r="P2"/>
    </row>
    <row r="3" spans="1:16" ht="13.5">
      <c r="A3" s="3" t="s">
        <v>1</v>
      </c>
      <c r="B3" s="3"/>
      <c r="C3" s="3"/>
      <c r="E3" s="3" t="s">
        <v>2</v>
      </c>
      <c r="F3" s="3"/>
      <c r="G3" s="3"/>
      <c r="I3"/>
      <c r="J3"/>
      <c r="K3"/>
      <c r="L3"/>
      <c r="M3"/>
      <c r="N3"/>
      <c r="O3"/>
      <c r="P3"/>
    </row>
    <row r="4" spans="1:16" ht="13.5">
      <c r="A4" s="4" t="s">
        <v>3</v>
      </c>
      <c r="B4" s="4" t="s">
        <v>4</v>
      </c>
      <c r="C4" s="4" t="s">
        <v>5</v>
      </c>
      <c r="E4" s="5" t="s">
        <v>6</v>
      </c>
      <c r="F4" s="6">
        <v>14</v>
      </c>
      <c r="G4" s="7">
        <v>6.9</v>
      </c>
      <c r="H4" s="8">
        <f>F4+(G4/60)</f>
        <v>14.115</v>
      </c>
      <c r="I4"/>
      <c r="J4"/>
      <c r="K4"/>
      <c r="L4"/>
      <c r="M4"/>
      <c r="N4"/>
      <c r="O4"/>
      <c r="P4"/>
    </row>
    <row r="5" spans="1:16" ht="13.5">
      <c r="A5" s="6">
        <v>21</v>
      </c>
      <c r="B5" s="6">
        <v>48</v>
      </c>
      <c r="C5" s="6">
        <v>55</v>
      </c>
      <c r="E5" s="5" t="s">
        <v>7</v>
      </c>
      <c r="F5" s="9">
        <v>-17</v>
      </c>
      <c r="G5" s="7">
        <v>-37.9</v>
      </c>
      <c r="H5" s="8">
        <f>(F5+(G5/60))</f>
        <v>-17.631666666666668</v>
      </c>
      <c r="I5"/>
      <c r="J5"/>
      <c r="K5"/>
      <c r="L5"/>
      <c r="M5"/>
      <c r="N5"/>
      <c r="O5"/>
      <c r="P5"/>
    </row>
    <row r="6" spans="9:16" ht="13.5">
      <c r="I6"/>
      <c r="J6"/>
      <c r="K6"/>
      <c r="L6"/>
      <c r="M6"/>
      <c r="N6"/>
      <c r="O6"/>
      <c r="P6"/>
    </row>
    <row r="7" spans="1:16" ht="13.5">
      <c r="A7" s="3" t="s">
        <v>8</v>
      </c>
      <c r="B7" s="3"/>
      <c r="C7" s="3"/>
      <c r="E7" s="10" t="s">
        <v>9</v>
      </c>
      <c r="F7" s="11">
        <v>11.2</v>
      </c>
      <c r="G7" s="10" t="s">
        <v>10</v>
      </c>
      <c r="H7" s="11">
        <v>23.2</v>
      </c>
      <c r="I7"/>
      <c r="J7"/>
      <c r="K7"/>
      <c r="L7"/>
      <c r="M7"/>
      <c r="N7"/>
      <c r="O7"/>
      <c r="P7"/>
    </row>
    <row r="8" spans="1:16" ht="13.5">
      <c r="A8" s="5" t="s">
        <v>11</v>
      </c>
      <c r="B8" s="6">
        <v>28</v>
      </c>
      <c r="C8" s="7">
        <v>39.2</v>
      </c>
      <c r="D8" s="12">
        <f>B8+(C8/60)</f>
        <v>28.653333333333332</v>
      </c>
      <c r="E8" s="13" t="s">
        <v>12</v>
      </c>
      <c r="F8" s="14">
        <v>0</v>
      </c>
      <c r="G8" s="13" t="s">
        <v>13</v>
      </c>
      <c r="H8" s="14">
        <v>0</v>
      </c>
      <c r="I8" s="51"/>
      <c r="J8"/>
      <c r="K8"/>
      <c r="L8"/>
      <c r="M8"/>
      <c r="N8"/>
      <c r="O8"/>
      <c r="P8"/>
    </row>
    <row r="9" spans="1:16" ht="14.25">
      <c r="A9" s="15" t="s">
        <v>14</v>
      </c>
      <c r="B9" s="15"/>
      <c r="C9" s="16">
        <f>(B5/60)+(C5/3600)</f>
        <v>0.8152777777777778</v>
      </c>
      <c r="E9" s="13" t="s">
        <v>15</v>
      </c>
      <c r="F9" s="17">
        <v>27</v>
      </c>
      <c r="G9" s="13" t="s">
        <v>16</v>
      </c>
      <c r="H9" s="18">
        <v>0</v>
      </c>
      <c r="I9"/>
      <c r="J9"/>
      <c r="K9"/>
      <c r="L9"/>
      <c r="M9"/>
      <c r="N9"/>
      <c r="O9"/>
      <c r="P9"/>
    </row>
    <row r="10" spans="1:16" ht="14.25">
      <c r="A10" s="19" t="s">
        <v>62</v>
      </c>
      <c r="B10" s="1">
        <v>80</v>
      </c>
      <c r="C10" s="1">
        <v>41</v>
      </c>
      <c r="E10" s="13" t="s">
        <v>19</v>
      </c>
      <c r="F10" s="14">
        <v>1017</v>
      </c>
      <c r="G10" s="13" t="s">
        <v>20</v>
      </c>
      <c r="H10" s="52">
        <f>B10+(C10/60)</f>
        <v>80.68333333333334</v>
      </c>
      <c r="I10"/>
      <c r="J10"/>
      <c r="K10"/>
      <c r="L10"/>
      <c r="M10"/>
      <c r="N10"/>
      <c r="O10"/>
      <c r="P10"/>
    </row>
    <row r="11" spans="1:16" ht="14.25">
      <c r="A11"/>
      <c r="B11"/>
      <c r="C11"/>
      <c r="E11" s="21" t="s">
        <v>21</v>
      </c>
      <c r="F11" s="22" t="s">
        <v>63</v>
      </c>
      <c r="G11" s="21" t="s">
        <v>23</v>
      </c>
      <c r="H11" s="23">
        <v>0</v>
      </c>
      <c r="I11"/>
      <c r="J11"/>
      <c r="K11"/>
      <c r="L11"/>
      <c r="M11"/>
      <c r="N11"/>
      <c r="O11"/>
      <c r="P11"/>
    </row>
    <row r="12" ht="14.25"/>
    <row r="13" spans="1:5" ht="14.25">
      <c r="A13" s="24" t="s">
        <v>24</v>
      </c>
      <c r="E13" s="24" t="s">
        <v>25</v>
      </c>
    </row>
    <row r="14" spans="1:8" ht="14.25">
      <c r="A14"/>
      <c r="B14" s="25" t="s">
        <v>26</v>
      </c>
      <c r="C14" s="25" t="s">
        <v>27</v>
      </c>
      <c r="F14" s="25" t="s">
        <v>26</v>
      </c>
      <c r="G14" s="25" t="s">
        <v>27</v>
      </c>
      <c r="H14" s="26" t="s">
        <v>28</v>
      </c>
    </row>
    <row r="15" spans="1:8" ht="14.25">
      <c r="A15" s="19" t="s">
        <v>29</v>
      </c>
      <c r="B15" s="1">
        <v>349</v>
      </c>
      <c r="C15" s="1">
        <v>22.8</v>
      </c>
      <c r="E15" s="19" t="s">
        <v>64</v>
      </c>
      <c r="F15" s="1">
        <v>38</v>
      </c>
      <c r="G15" s="27">
        <v>47.8</v>
      </c>
      <c r="H15" s="1" t="s">
        <v>65</v>
      </c>
    </row>
    <row r="16" spans="1:7" ht="14.25">
      <c r="A16" s="19" t="s">
        <v>32</v>
      </c>
      <c r="B16" s="1">
        <v>4</v>
      </c>
      <c r="C16" s="1">
        <v>25.2</v>
      </c>
      <c r="E16" s="19"/>
      <c r="G16" s="27"/>
    </row>
    <row r="17" spans="1:8" ht="14.25">
      <c r="A17" s="28" t="s">
        <v>34</v>
      </c>
      <c r="B17" s="28"/>
      <c r="C17" s="28"/>
      <c r="D17" s="28"/>
      <c r="E17" s="28"/>
      <c r="F17" s="28"/>
      <c r="G17" s="28"/>
      <c r="H17" s="28"/>
    </row>
    <row r="18" spans="1:7" ht="14.25">
      <c r="A18" s="19" t="s">
        <v>35</v>
      </c>
      <c r="B18" s="8">
        <f>B15+(C15/60)</f>
        <v>349.38</v>
      </c>
      <c r="E18" s="19" t="s">
        <v>40</v>
      </c>
      <c r="F18" s="8">
        <f>F15+(G15/60)</f>
        <v>38.79666666666667</v>
      </c>
      <c r="G18" s="30">
        <f>IF(LOWER(H15)="n",+F18,-F18)</f>
        <v>38.79666666666667</v>
      </c>
    </row>
    <row r="19" spans="1:6" ht="13.5">
      <c r="A19" s="19" t="s">
        <v>37</v>
      </c>
      <c r="B19" s="8">
        <f>B16+(C16/60)</f>
        <v>4.42</v>
      </c>
      <c r="E19" s="19"/>
      <c r="F19" s="8"/>
    </row>
    <row r="20" spans="1:2" ht="13.5">
      <c r="A20"/>
      <c r="B20"/>
    </row>
    <row r="21" spans="1:6" ht="13.5">
      <c r="A21" s="19" t="s">
        <v>39</v>
      </c>
      <c r="B21" s="8">
        <f>B18</f>
        <v>349.38</v>
      </c>
      <c r="C21" s="8">
        <f>(C9*(IF(B19&lt;B18,B19+360,B19)-B18))</f>
        <v>12.261777777777795</v>
      </c>
      <c r="E21" s="19" t="s">
        <v>42</v>
      </c>
      <c r="F21" s="30">
        <f>SIN(RADIANS(G18))</f>
        <v>0.6265584702591597</v>
      </c>
    </row>
    <row r="22" spans="2:8" ht="13.5">
      <c r="B22" s="30">
        <f>B21+C21+H10</f>
        <v>442.32511111111114</v>
      </c>
      <c r="C22" s="30">
        <f>IF(B22&gt;360,B22-360,B22)</f>
        <v>82.32511111111114</v>
      </c>
      <c r="E22" s="19" t="s">
        <v>44</v>
      </c>
      <c r="F22" s="8">
        <f>COS(RADIANS(G18))</f>
        <v>0.7793744179446114</v>
      </c>
      <c r="G22" s="8">
        <f>COS(RADIANS(B24))</f>
        <v>0.4274613021246764</v>
      </c>
      <c r="H22" s="30">
        <f>F22*G22</f>
        <v>0.3331524035372654</v>
      </c>
    </row>
    <row r="23" spans="5:8" ht="13.5">
      <c r="E23" s="19" t="s">
        <v>46</v>
      </c>
      <c r="F23" s="8">
        <f>F21*SIN(RADIANS(H4))</f>
        <v>0.1527981345356899</v>
      </c>
      <c r="G23" s="8">
        <f>H22*COS(RADIANS(H4))</f>
        <v>0.32309393406197745</v>
      </c>
      <c r="H23" s="8">
        <f>F23+G23</f>
        <v>0.47589206859766736</v>
      </c>
    </row>
    <row r="24" spans="1:8" ht="13.5">
      <c r="A24" s="19" t="s">
        <v>41</v>
      </c>
      <c r="B24" s="30">
        <f>C22+H5</f>
        <v>64.69344444444448</v>
      </c>
      <c r="H24" s="30">
        <f>ASIN(H23)</f>
        <v>0.49597804007459984</v>
      </c>
    </row>
    <row r="25" spans="1:8" ht="13.5">
      <c r="A25" s="19" t="s">
        <v>43</v>
      </c>
      <c r="B25" s="30">
        <f>SIN(RADIANS(H4))</f>
        <v>0.24386891533441232</v>
      </c>
      <c r="E25" s="19" t="s">
        <v>46</v>
      </c>
      <c r="F25" s="8">
        <f>DEGREES(H24)</f>
        <v>28.41744842744498</v>
      </c>
      <c r="G25" s="31" t="str">
        <f>MID(F25,1,2)</f>
        <v>28</v>
      </c>
      <c r="H25" s="31">
        <f>MID(F25,4,4)*0.006</f>
        <v>25.044</v>
      </c>
    </row>
    <row r="26" spans="1:10" ht="13.5">
      <c r="A26" s="19" t="s">
        <v>45</v>
      </c>
      <c r="B26" s="30">
        <f>COS(RADIANS(H4))</f>
        <v>0.9698082037875413</v>
      </c>
      <c r="F26" s="32" t="str">
        <f>G25&amp;"° "&amp;TEXT(H25,"##,#")</f>
        <v>28° 25</v>
      </c>
      <c r="J26" s="8"/>
    </row>
    <row r="28" spans="5:8" ht="13.5">
      <c r="E28" s="19" t="s">
        <v>50</v>
      </c>
      <c r="F28" s="8">
        <f>F21*B26</f>
        <v>0.6076415446099053</v>
      </c>
      <c r="G28" s="8">
        <f>H22*B25</f>
        <v>0.08124551529168535</v>
      </c>
      <c r="H28" s="8">
        <f>COS(H24)</f>
        <v>0.8795036890461763</v>
      </c>
    </row>
    <row r="29" spans="1:10" ht="13.5">
      <c r="A29" s="3" t="s">
        <v>47</v>
      </c>
      <c r="B29" s="3"/>
      <c r="C29" s="3"/>
      <c r="H29" s="8">
        <f>(F28-G28)/H28</f>
        <v>0.5985148622731732</v>
      </c>
      <c r="J29" s="8"/>
    </row>
    <row r="30" spans="1:8" ht="13.5">
      <c r="A30" s="13" t="s">
        <v>48</v>
      </c>
      <c r="B30" s="33" t="str">
        <f>F26</f>
        <v>28° 25</v>
      </c>
      <c r="C30" s="34"/>
      <c r="E30" s="17"/>
      <c r="F30" s="17"/>
      <c r="G30" s="53">
        <f>DEGREES(ACOS(H29))</f>
        <v>53.236393625669685</v>
      </c>
      <c r="H30" s="54">
        <f>IF(B24&gt;180,G30,360-G30)</f>
        <v>306.7636063743303</v>
      </c>
    </row>
    <row r="31" spans="1:8" ht="13.5">
      <c r="A31" s="21" t="s">
        <v>49</v>
      </c>
      <c r="B31" s="35">
        <f>H30</f>
        <v>306.7636063743303</v>
      </c>
      <c r="C31" s="36"/>
      <c r="E31"/>
      <c r="F31"/>
      <c r="G31"/>
      <c r="H31"/>
    </row>
    <row r="32" spans="5:8" ht="13.5">
      <c r="E32"/>
      <c r="F32"/>
      <c r="G32"/>
      <c r="H32"/>
    </row>
    <row r="33" spans="1:8" ht="14.25">
      <c r="A33" s="37"/>
      <c r="B33" s="37"/>
      <c r="C33" s="37"/>
      <c r="D33" s="37"/>
      <c r="E33" s="55"/>
      <c r="F33" s="55"/>
      <c r="G33" s="55"/>
      <c r="H33" s="55"/>
    </row>
    <row r="34" ht="14.25"/>
    <row r="35" spans="1:8" ht="14.25">
      <c r="A35" s="19" t="s">
        <v>51</v>
      </c>
      <c r="B35" s="8">
        <f>0.0293*(SQRT(H7))</f>
        <v>0.14112748846344572</v>
      </c>
      <c r="C35" s="14"/>
      <c r="D35" s="24" t="s">
        <v>52</v>
      </c>
      <c r="E35" s="8">
        <f>(0.28*F10)/(F9+273)</f>
        <v>0.9492000000000002</v>
      </c>
      <c r="G35" s="40" t="s">
        <v>53</v>
      </c>
      <c r="H35" s="41">
        <f>H11/60</f>
        <v>0</v>
      </c>
    </row>
    <row r="36" spans="1:8" ht="14.25">
      <c r="A36" s="19" t="s">
        <v>54</v>
      </c>
      <c r="B36" s="8">
        <f>D8+H8-B35</f>
        <v>28.512205844869886</v>
      </c>
      <c r="C36" s="14"/>
      <c r="D36" s="19" t="s">
        <v>55</v>
      </c>
      <c r="E36" s="8">
        <f>E35*C37</f>
        <v>0.028911482158295986</v>
      </c>
      <c r="G36" s="42" t="s">
        <v>22</v>
      </c>
      <c r="H36" s="43">
        <f>0.2724*E37</f>
        <v>0</v>
      </c>
    </row>
    <row r="37" spans="1:10" ht="14.25">
      <c r="A37" s="19" t="s">
        <v>56</v>
      </c>
      <c r="B37" s="8">
        <f>B36+7.32/(B36+4.32)</f>
        <v>28.735157663416178</v>
      </c>
      <c r="C37" s="44">
        <f>0.0167/TAN(RADIANS(B37))</f>
        <v>0.030458788620202255</v>
      </c>
      <c r="D37" s="19" t="s">
        <v>57</v>
      </c>
      <c r="E37" s="8">
        <f>H9/60</f>
        <v>0</v>
      </c>
      <c r="J37" s="8"/>
    </row>
    <row r="38" spans="1:5" ht="14.25">
      <c r="A38" s="19" t="s">
        <v>58</v>
      </c>
      <c r="B38" s="8">
        <f>IF(OR(LOWER(F11)="moon",LOWER(F11)="sun"),COS(RADIANS(B36)),0)</f>
        <v>0</v>
      </c>
      <c r="C38" s="44">
        <f>E37*B38</f>
        <v>0</v>
      </c>
      <c r="D38" s="45" t="s">
        <v>42</v>
      </c>
      <c r="E38" s="8">
        <f>IF(LOWER(F11)="moon",IF(LOWER(F11)="star",0,H36),IF(LOWER(F11)="sun",H35,0))</f>
        <v>0</v>
      </c>
    </row>
    <row r="39" ht="13.5">
      <c r="C39" s="14"/>
    </row>
    <row r="40" spans="1:6" ht="14.25">
      <c r="A40" s="19" t="s">
        <v>59</v>
      </c>
      <c r="B40" s="8">
        <f>B36-E36+C38+E38</f>
        <v>28.48329436271159</v>
      </c>
      <c r="C40" s="46">
        <f>MID(B40,4,4)*0.006</f>
        <v>28.992</v>
      </c>
      <c r="E40" s="47" t="s">
        <v>60</v>
      </c>
      <c r="F40" s="47"/>
    </row>
    <row r="41" spans="2:8" ht="13.5">
      <c r="B41" s="48" t="str">
        <f>MID(B40,1,2)&amp;"° "&amp;TEXT(C40,"##,#")</f>
        <v>28° 29</v>
      </c>
      <c r="C41" s="20"/>
      <c r="E41" s="8">
        <f>B40-F25</f>
        <v>0.06584593526660854</v>
      </c>
      <c r="F41" s="49" t="s">
        <v>61</v>
      </c>
      <c r="G41" s="8">
        <f>E41*60</f>
        <v>3.950756115996512</v>
      </c>
      <c r="H41" s="49" t="str">
        <f>IF(CODE(G41)=45,"Away","Fwd")</f>
        <v>Fwd</v>
      </c>
    </row>
    <row r="48" ht="14.25"/>
  </sheetData>
  <sheetProtection selectLockedCells="1" selectUnlockedCells="1"/>
  <mergeCells count="7">
    <mergeCell ref="A3:C3"/>
    <mergeCell ref="E3:G3"/>
    <mergeCell ref="A7:C7"/>
    <mergeCell ref="A9:B9"/>
    <mergeCell ref="A17:H17"/>
    <mergeCell ref="A29:C29"/>
    <mergeCell ref="E40:F4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&amp;C&amp;"Jungle,Normal"&amp;A</oddHeader>
    <oddFooter>&amp;C&amp;"Jungle,Normal"Страница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Definition vsl's psn by celestial observations</dc:title>
  <dc:subject>Celestial observation</dc:subject>
  <dc:creator>Anufriiev Oleg</dc:creator>
  <cp:keywords>Sun, Moon, Planets, Start, Celestial oservation</cp:keywords>
  <dc:description>Direct computations of line of positions to find the vsls position.
Version 1.0</dc:description>
  <cp:lastModifiedBy>Anufriiev Oleg</cp:lastModifiedBy>
  <dcterms:created xsi:type="dcterms:W3CDTF">2009-10-28T13:51:54Z</dcterms:created>
  <dcterms:modified xsi:type="dcterms:W3CDTF">2009-10-30T10:11:28Z</dcterms:modified>
  <cp:category/>
  <cp:version/>
  <cp:contentType/>
  <cp:contentStatus/>
  <cp:revision>65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O. Anufriiev</vt:lpwstr>
  </property>
  <property fmtid="{D5CDD505-2E9C-101B-9397-08002B2CF9AE}" pid="3" name="Дата завершения">
    <vt:lpwstr>30.10.2009</vt:lpwstr>
  </property>
  <property fmtid="{D5CDD505-2E9C-101B-9397-08002B2CF9AE}" pid="4" name="Источник">
    <vt:lpwstr>Admiralty Nautical Almanac / 2009</vt:lpwstr>
  </property>
</Properties>
</file>