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Sun error" sheetId="1" r:id="rId1"/>
    <sheet name="Moon &amp; Stars error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<sst xmlns="http://schemas.openxmlformats.org/spreadsheetml/2006/main" count="53" uniqueCount="27">
  <si>
    <t>Note:</t>
  </si>
  <si>
    <t>Z</t>
  </si>
  <si>
    <t>Ztab.</t>
  </si>
  <si>
    <t>LHA</t>
  </si>
  <si>
    <t>LAT</t>
  </si>
  <si>
    <t>GHA &amp; Dec. (declination) from Nautical Almanac.</t>
  </si>
  <si>
    <t>LHA= GHA+- LONG.</t>
  </si>
  <si>
    <t>lat</t>
  </si>
  <si>
    <t>x</t>
  </si>
  <si>
    <t>N</t>
  </si>
  <si>
    <t>z</t>
  </si>
  <si>
    <t>dec</t>
  </si>
  <si>
    <t>y</t>
  </si>
  <si>
    <t>Observed</t>
  </si>
  <si>
    <t>Dec</t>
  </si>
  <si>
    <t>Bearing</t>
  </si>
  <si>
    <t>AzN</t>
  </si>
  <si>
    <t>Calculated</t>
  </si>
  <si>
    <t>AzS</t>
  </si>
  <si>
    <t>long</t>
  </si>
  <si>
    <t>Gyro Error:</t>
  </si>
  <si>
    <t>LONG</t>
  </si>
  <si>
    <t>W</t>
  </si>
  <si>
    <t>GHA</t>
  </si>
  <si>
    <t>Zn</t>
  </si>
  <si>
    <t>Hc tab</t>
  </si>
  <si>
    <t>Z tab.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</si>
</sst>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00\°"/>
    <numFmt numFmtId="175" formatCode="0.00\°"/>
    <numFmt numFmtId="176" formatCode="0.00\'"/>
    <numFmt numFmtId="177" formatCode="0.0\°"/>
    <numFmt numFmtId="178" formatCode="000\°"/>
    <numFmt numFmtId="179" formatCode="0.0\'"/>
    <numFmt numFmtId="180" formatCode="0\°"/>
  </numFmts>
  <fonts count="3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0"/>
      <name val="Times New Roman Cyr"/>
      <family val="0"/>
    </font>
    <font>
      <sz val="12"/>
      <name val="Times New Roman Cyr"/>
      <family val="0"/>
    </font>
    <font>
      <sz val="12"/>
      <color indexed="12"/>
      <name val="Times New Roman Cyr"/>
      <family val="0"/>
    </font>
    <font>
      <b/>
      <sz val="12"/>
      <color indexed="21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0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10"/>
      <name val="Times New Roman Cyr"/>
      <family val="0"/>
    </font>
    <font>
      <sz val="10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12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b/>
      <sz val="12"/>
      <color indexed="12"/>
      <name val="Times New Roman Cyr"/>
      <family val="0"/>
    </font>
    <font>
      <b/>
      <sz val="14"/>
      <color indexed="10"/>
      <name val="Times New Roman Cyr"/>
      <family val="0"/>
    </font>
    <font>
      <b/>
      <i/>
      <sz val="12"/>
      <color indexed="14"/>
      <name val="Times New Roman Cyr"/>
      <family val="0"/>
    </font>
    <font>
      <sz val="12"/>
      <color indexed="8"/>
      <name val="Times New Roman Cyr"/>
      <family val="0"/>
    </font>
    <font>
      <b/>
      <sz val="12"/>
      <color indexed="17"/>
      <name val="Times New Roman Cyr"/>
      <family val="0"/>
    </font>
    <font>
      <b/>
      <sz val="12"/>
      <color indexed="8"/>
      <name val="Wingdings"/>
      <family val="0"/>
    </font>
    <font>
      <sz val="10"/>
      <color indexed="8"/>
      <name val="Times New Roman Cyr"/>
      <family val="0"/>
    </font>
    <font>
      <b/>
      <sz val="10"/>
      <color indexed="17"/>
      <name val="Times New Roman Cyr"/>
      <family val="0"/>
    </font>
    <font>
      <b/>
      <sz val="12"/>
      <color indexed="10"/>
      <name val="Times New Roman"/>
      <family val="0"/>
    </font>
    <font>
      <sz val="12"/>
      <color indexed="17"/>
      <name val="Times New Roman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72" fontId="5" fillId="2" borderId="0" xfId="0" applyNumberFormat="1" applyFont="1" applyFill="1" applyAlignment="1">
      <alignment horizontal="center"/>
    </xf>
    <xf numFmtId="172" fontId="6" fillId="2" borderId="0" xfId="0" applyNumberFormat="1" applyFont="1" applyFill="1" applyAlignment="1">
      <alignment/>
    </xf>
    <xf numFmtId="172" fontId="6" fillId="0" borderId="0" xfId="0" applyNumberFormat="1" applyFont="1" applyAlignment="1">
      <alignment/>
    </xf>
    <xf numFmtId="172" fontId="6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172" fontId="5" fillId="2" borderId="0" xfId="0" applyNumberFormat="1" applyFont="1" applyFill="1" applyAlignment="1">
      <alignment/>
    </xf>
    <xf numFmtId="0" fontId="6" fillId="0" borderId="1" xfId="0" applyNumberFormat="1" applyFont="1" applyAlignment="1">
      <alignment/>
    </xf>
    <xf numFmtId="173" fontId="12" fillId="2" borderId="0" xfId="0" applyNumberFormat="1" applyFont="1" applyFill="1" applyAlignment="1">
      <alignment horizontal="center"/>
    </xf>
    <xf numFmtId="173" fontId="13" fillId="2" borderId="0" xfId="0" applyNumberFormat="1" applyFont="1" applyFill="1" applyAlignment="1">
      <alignment horizontal="center"/>
    </xf>
    <xf numFmtId="0" fontId="14" fillId="3" borderId="2" xfId="0" applyNumberFormat="1" applyFont="1" applyFill="1" applyAlignment="1">
      <alignment horizontal="center"/>
    </xf>
    <xf numFmtId="173" fontId="15" fillId="2" borderId="0" xfId="0" applyNumberFormat="1" applyFont="1" applyFill="1" applyAlignment="1">
      <alignment horizontal="center"/>
    </xf>
    <xf numFmtId="173" fontId="16" fillId="2" borderId="0" xfId="0" applyNumberFormat="1" applyFont="1" applyFill="1" applyAlignment="1">
      <alignment horizontal="center"/>
    </xf>
    <xf numFmtId="172" fontId="6" fillId="2" borderId="1" xfId="0" applyNumberFormat="1" applyFont="1" applyFill="1" applyAlignment="1">
      <alignment/>
    </xf>
    <xf numFmtId="173" fontId="7" fillId="2" borderId="0" xfId="0" applyNumberFormat="1" applyFont="1" applyFill="1" applyAlignment="1">
      <alignment horizontal="center"/>
    </xf>
    <xf numFmtId="0" fontId="17" fillId="0" borderId="1" xfId="0" applyNumberFormat="1" applyFont="1" applyAlignment="1">
      <alignment/>
    </xf>
    <xf numFmtId="173" fontId="18" fillId="2" borderId="0" xfId="0" applyNumberFormat="1" applyFont="1" applyFill="1" applyAlignment="1">
      <alignment horizontal="center"/>
    </xf>
    <xf numFmtId="0" fontId="6" fillId="2" borderId="3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23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/>
    </xf>
    <xf numFmtId="0" fontId="26" fillId="2" borderId="0" xfId="0" applyNumberFormat="1" applyFont="1" applyFill="1" applyAlignment="1">
      <alignment horizontal="right"/>
    </xf>
    <xf numFmtId="0" fontId="14" fillId="2" borderId="0" xfId="0" applyNumberFormat="1" applyFont="1" applyFill="1" applyAlignment="1">
      <alignment horizontal="left"/>
    </xf>
    <xf numFmtId="172" fontId="27" fillId="2" borderId="0" xfId="0" applyNumberFormat="1" applyFont="1" applyFill="1" applyAlignment="1">
      <alignment horizontal="center"/>
    </xf>
    <xf numFmtId="172" fontId="24" fillId="2" borderId="0" xfId="0" applyNumberFormat="1" applyFont="1" applyFill="1" applyAlignment="1">
      <alignment horizontal="center"/>
    </xf>
    <xf numFmtId="0" fontId="18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77" fontId="21" fillId="2" borderId="0" xfId="0" applyNumberFormat="1" applyFont="1" applyFill="1" applyAlignment="1">
      <alignment horizontal="center"/>
    </xf>
    <xf numFmtId="177" fontId="18" fillId="2" borderId="0" xfId="0" applyNumberFormat="1" applyFont="1" applyFill="1" applyAlignment="1">
      <alignment horizontal="center"/>
    </xf>
    <xf numFmtId="174" fontId="17" fillId="2" borderId="2" xfId="0" applyNumberFormat="1" applyFont="1" applyFill="1" applyAlignment="1">
      <alignment horizontal="center"/>
    </xf>
    <xf numFmtId="179" fontId="17" fillId="2" borderId="3" xfId="0" applyNumberFormat="1" applyFont="1" applyFill="1" applyAlignment="1">
      <alignment horizontal="center"/>
    </xf>
    <xf numFmtId="177" fontId="10" fillId="2" borderId="2" xfId="0" applyNumberFormat="1" applyFont="1" applyFill="1" applyAlignment="1">
      <alignment horizontal="center"/>
    </xf>
    <xf numFmtId="172" fontId="13" fillId="2" borderId="1" xfId="0" applyNumberFormat="1" applyFont="1" applyFill="1" applyAlignment="1">
      <alignment horizontal="center"/>
    </xf>
    <xf numFmtId="172" fontId="28" fillId="2" borderId="1" xfId="0" applyNumberFormat="1" applyFont="1" applyFill="1" applyAlignment="1">
      <alignment horizontal="center"/>
    </xf>
    <xf numFmtId="172" fontId="21" fillId="2" borderId="1" xfId="0" applyNumberFormat="1" applyFont="1" applyFill="1" applyAlignment="1">
      <alignment horizontal="center"/>
    </xf>
    <xf numFmtId="172" fontId="25" fillId="2" borderId="1" xfId="0" applyNumberFormat="1" applyFont="1" applyFill="1" applyAlignment="1">
      <alignment horizontal="center"/>
    </xf>
    <xf numFmtId="172" fontId="5" fillId="2" borderId="1" xfId="0" applyNumberFormat="1" applyFont="1" applyFill="1" applyAlignment="1">
      <alignment horizontal="center"/>
    </xf>
    <xf numFmtId="0" fontId="11" fillId="4" borderId="4" xfId="0" applyNumberFormat="1" applyFont="1" applyFill="1" applyBorder="1" applyAlignment="1">
      <alignment horizontal="center"/>
    </xf>
    <xf numFmtId="177" fontId="22" fillId="5" borderId="0" xfId="0" applyNumberFormat="1" applyFont="1" applyFill="1" applyAlignment="1">
      <alignment horizontal="center"/>
    </xf>
    <xf numFmtId="0" fontId="30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14" fillId="2" borderId="0" xfId="0" applyNumberFormat="1" applyFont="1" applyFill="1" applyAlignment="1">
      <alignment horizontal="right"/>
    </xf>
    <xf numFmtId="0" fontId="6" fillId="0" borderId="0" xfId="0" applyNumberFormat="1" applyFont="1" applyBorder="1" applyAlignment="1">
      <alignment/>
    </xf>
    <xf numFmtId="180" fontId="17" fillId="0" borderId="2" xfId="0" applyNumberFormat="1" applyFont="1" applyAlignment="1">
      <alignment horizontal="center"/>
    </xf>
    <xf numFmtId="174" fontId="17" fillId="2" borderId="2" xfId="0" applyNumberFormat="1" applyFont="1" applyFill="1" applyAlignment="1" applyProtection="1">
      <alignment horizontal="center"/>
      <protection locked="0"/>
    </xf>
    <xf numFmtId="176" fontId="17" fillId="2" borderId="3" xfId="0" applyNumberFormat="1" applyFont="1" applyFill="1" applyAlignment="1" applyProtection="1">
      <alignment horizontal="center"/>
      <protection locked="0"/>
    </xf>
    <xf numFmtId="0" fontId="29" fillId="2" borderId="3" xfId="0" applyNumberFormat="1" applyFont="1" applyFill="1" applyAlignment="1" applyProtection="1">
      <alignment horizontal="center"/>
      <protection locked="0"/>
    </xf>
    <xf numFmtId="178" fontId="10" fillId="2" borderId="2" xfId="0" applyNumberFormat="1" applyFont="1" applyFill="1" applyAlignment="1" applyProtection="1">
      <alignment horizontal="center"/>
      <protection locked="0"/>
    </xf>
    <xf numFmtId="0" fontId="18" fillId="2" borderId="3" xfId="0" applyNumberFormat="1" applyFont="1" applyFill="1" applyAlignment="1" applyProtection="1">
      <alignment horizontal="center"/>
      <protection locked="0"/>
    </xf>
    <xf numFmtId="177" fontId="20" fillId="2" borderId="2" xfId="0" applyNumberFormat="1" applyFont="1" applyFill="1" applyAlignment="1" applyProtection="1">
      <alignment horizontal="center"/>
      <protection locked="0"/>
    </xf>
    <xf numFmtId="178" fontId="19" fillId="2" borderId="2" xfId="0" applyNumberFormat="1" applyFont="1" applyFill="1" applyAlignment="1" applyProtection="1">
      <alignment horizontal="right"/>
      <protection locked="0"/>
    </xf>
    <xf numFmtId="176" fontId="17" fillId="2" borderId="3" xfId="0" applyNumberFormat="1" applyFont="1" applyFill="1" applyAlignment="1" applyProtection="1">
      <alignment horizontal="right"/>
      <protection locked="0"/>
    </xf>
    <xf numFmtId="174" fontId="17" fillId="2" borderId="2" xfId="0" applyNumberFormat="1" applyFont="1" applyFill="1" applyAlignment="1" applyProtection="1">
      <alignment horizontal="right"/>
      <protection locked="0"/>
    </xf>
    <xf numFmtId="0" fontId="18" fillId="2" borderId="0" xfId="0" applyNumberFormat="1" applyFont="1" applyFill="1" applyBorder="1" applyAlignment="1" applyProtection="1">
      <alignment horizontal="center"/>
      <protection locked="0"/>
    </xf>
    <xf numFmtId="177" fontId="20" fillId="2" borderId="1" xfId="0" applyNumberFormat="1" applyFont="1" applyFill="1" applyBorder="1" applyAlignment="1" applyProtection="1">
      <alignment horizontal="center"/>
      <protection locked="0"/>
    </xf>
    <xf numFmtId="0" fontId="21" fillId="6" borderId="2" xfId="0" applyNumberFormat="1" applyFont="1" applyFill="1" applyAlignment="1">
      <alignment horizontal="center"/>
    </xf>
    <xf numFmtId="0" fontId="17" fillId="5" borderId="0" xfId="0" applyNumberFormat="1" applyFont="1" applyFill="1" applyAlignment="1">
      <alignment horizontal="center"/>
    </xf>
    <xf numFmtId="0" fontId="25" fillId="2" borderId="0" xfId="0" applyNumberFormat="1" applyFont="1" applyFill="1" applyAlignment="1">
      <alignment horizontal="left"/>
    </xf>
    <xf numFmtId="0" fontId="14" fillId="3" borderId="5" xfId="0" applyNumberFormat="1" applyFont="1" applyFill="1" applyBorder="1" applyAlignment="1">
      <alignment horizontal="center"/>
    </xf>
    <xf numFmtId="0" fontId="14" fillId="3" borderId="6" xfId="0" applyNumberFormat="1" applyFont="1" applyFill="1" applyBorder="1" applyAlignment="1">
      <alignment horizontal="center"/>
    </xf>
    <xf numFmtId="0" fontId="10" fillId="4" borderId="5" xfId="0" applyNumberFormat="1" applyFont="1" applyFill="1" applyBorder="1" applyAlignment="1">
      <alignment horizontal="center"/>
    </xf>
    <xf numFmtId="0" fontId="10" fillId="4" borderId="7" xfId="0" applyNumberFormat="1" applyFont="1" applyFill="1" applyBorder="1" applyAlignment="1">
      <alignment horizontal="center"/>
    </xf>
    <xf numFmtId="0" fontId="10" fillId="4" borderId="6" xfId="0" applyNumberFormat="1" applyFont="1" applyFill="1" applyBorder="1" applyAlignment="1">
      <alignment horizontal="center"/>
    </xf>
    <xf numFmtId="0" fontId="10" fillId="4" borderId="8" xfId="0" applyNumberFormat="1" applyFont="1" applyFill="1" applyBorder="1" applyAlignment="1">
      <alignment horizontal="center"/>
    </xf>
    <xf numFmtId="0" fontId="10" fillId="4" borderId="9" xfId="0" applyNumberFormat="1" applyFont="1" applyFill="1" applyBorder="1" applyAlignment="1">
      <alignment horizontal="center"/>
    </xf>
    <xf numFmtId="0" fontId="10" fillId="4" borderId="10" xfId="0" applyNumberFormat="1" applyFont="1" applyFill="1" applyBorder="1" applyAlignment="1">
      <alignment horizontal="center"/>
    </xf>
    <xf numFmtId="0" fontId="10" fillId="4" borderId="11" xfId="0" applyNumberFormat="1" applyFont="1" applyFill="1" applyBorder="1" applyAlignment="1">
      <alignment horizontal="center"/>
    </xf>
    <xf numFmtId="0" fontId="25" fillId="2" borderId="0" xfId="0" applyNumberFormat="1" applyFont="1" applyFill="1" applyAlignment="1">
      <alignment horizontal="center"/>
    </xf>
    <xf numFmtId="0" fontId="10" fillId="5" borderId="0" xfId="0" applyNumberFormat="1" applyFont="1" applyFill="1" applyAlignment="1">
      <alignment horizontal="center"/>
    </xf>
    <xf numFmtId="0" fontId="21" fillId="6" borderId="5" xfId="0" applyNumberFormat="1" applyFont="1" applyFill="1" applyBorder="1" applyAlignment="1">
      <alignment horizontal="center"/>
    </xf>
    <xf numFmtId="0" fontId="21" fillId="6" borderId="7" xfId="0" applyNumberFormat="1" applyFont="1" applyFill="1" applyBorder="1" applyAlignment="1">
      <alignment horizontal="center"/>
    </xf>
    <xf numFmtId="0" fontId="21" fillId="6" borderId="6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18</xdr:row>
      <xdr:rowOff>114300</xdr:rowOff>
    </xdr:from>
    <xdr:to>
      <xdr:col>8</xdr:col>
      <xdr:colOff>609600</xdr:colOff>
      <xdr:row>19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3133725" y="3752850"/>
          <a:ext cx="10858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>MALENE SIF</a:t>
          </a:r>
        </a:p>
      </xdr:txBody>
    </xdr:sp>
    <xdr:clientData/>
  </xdr:twoCellAnchor>
  <xdr:twoCellAnchor>
    <xdr:from>
      <xdr:col>10</xdr:col>
      <xdr:colOff>466725</xdr:colOff>
      <xdr:row>19</xdr:row>
      <xdr:rowOff>9525</xdr:rowOff>
    </xdr:from>
    <xdr:to>
      <xdr:col>12</xdr:col>
      <xdr:colOff>0</xdr:colOff>
      <xdr:row>19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5200650" y="3848100"/>
          <a:ext cx="209550" cy="180975"/>
        </a:xfrm>
        <a:prstGeom prst="flowChartSummingJunction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171450</xdr:rowOff>
    </xdr:from>
    <xdr:to>
      <xdr:col>4</xdr:col>
      <xdr:colOff>276225</xdr:colOff>
      <xdr:row>19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1943100" y="3810000"/>
          <a:ext cx="190500" cy="152400"/>
        </a:xfrm>
        <a:prstGeom prst="flowChartSummingJunction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17</xdr:row>
      <xdr:rowOff>66675</xdr:rowOff>
    </xdr:from>
    <xdr:to>
      <xdr:col>9</xdr:col>
      <xdr:colOff>123825</xdr:colOff>
      <xdr:row>18</xdr:row>
      <xdr:rowOff>95250</xdr:rowOff>
    </xdr:to>
    <xdr:sp>
      <xdr:nvSpPr>
        <xdr:cNvPr id="1" name="AutoShape 4"/>
        <xdr:cNvSpPr>
          <a:spLocks/>
        </xdr:cNvSpPr>
      </xdr:nvSpPr>
      <xdr:spPr>
        <a:xfrm>
          <a:off x="3371850" y="3505200"/>
          <a:ext cx="10858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>MALENE SIF</a:t>
          </a:r>
        </a:p>
      </xdr:txBody>
    </xdr:sp>
    <xdr:clientData/>
  </xdr:twoCellAnchor>
  <xdr:twoCellAnchor>
    <xdr:from>
      <xdr:col>4</xdr:col>
      <xdr:colOff>219075</xdr:colOff>
      <xdr:row>17</xdr:row>
      <xdr:rowOff>152400</xdr:rowOff>
    </xdr:from>
    <xdr:to>
      <xdr:col>4</xdr:col>
      <xdr:colOff>371475</xdr:colOff>
      <xdr:row>18</xdr:row>
      <xdr:rowOff>123825</xdr:rowOff>
    </xdr:to>
    <xdr:sp>
      <xdr:nvSpPr>
        <xdr:cNvPr id="2" name="AutoShape 5"/>
        <xdr:cNvSpPr>
          <a:spLocks/>
        </xdr:cNvSpPr>
      </xdr:nvSpPr>
      <xdr:spPr>
        <a:xfrm>
          <a:off x="2038350" y="3590925"/>
          <a:ext cx="152400" cy="171450"/>
        </a:xfrm>
        <a:prstGeom prst="flowChartSummingJunction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17</xdr:row>
      <xdr:rowOff>142875</xdr:rowOff>
    </xdr:from>
    <xdr:to>
      <xdr:col>11</xdr:col>
      <xdr:colOff>504825</xdr:colOff>
      <xdr:row>18</xdr:row>
      <xdr:rowOff>123825</xdr:rowOff>
    </xdr:to>
    <xdr:sp>
      <xdr:nvSpPr>
        <xdr:cNvPr id="3" name="AutoShape 6"/>
        <xdr:cNvSpPr>
          <a:spLocks/>
        </xdr:cNvSpPr>
      </xdr:nvSpPr>
      <xdr:spPr>
        <a:xfrm>
          <a:off x="5391150" y="3581400"/>
          <a:ext cx="190500" cy="180975"/>
        </a:xfrm>
        <a:prstGeom prst="flowChartSummingJunction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2"/>
  <sheetViews>
    <sheetView showGridLines="0" showRowColHeaders="0" tabSelected="1" showOutlineSymbols="0" zoomScale="92" zoomScaleNormal="92" workbookViewId="0" topLeftCell="A1">
      <selection activeCell="I4" sqref="I4"/>
    </sheetView>
  </sheetViews>
  <sheetFormatPr defaultColWidth="8.88671875" defaultRowHeight="15"/>
  <cols>
    <col min="1" max="1" width="4.6640625" style="1" customWidth="1"/>
    <col min="2" max="2" width="6.21484375" style="1" customWidth="1"/>
    <col min="3" max="3" width="4.6640625" style="1" customWidth="1"/>
    <col min="4" max="4" width="6.10546875" style="1" customWidth="1"/>
    <col min="5" max="5" width="6.21484375" style="1" customWidth="1"/>
    <col min="6" max="6" width="4.4453125" style="1" customWidth="1"/>
    <col min="7" max="7" width="6.5546875" style="1" customWidth="1"/>
    <col min="8" max="8" width="3.21484375" style="1" customWidth="1"/>
    <col min="9" max="9" width="10.4453125" style="1" customWidth="1"/>
    <col min="10" max="10" width="2.6640625" style="1" customWidth="1"/>
    <col min="11" max="11" width="6.21484375" style="1" customWidth="1"/>
    <col min="12" max="12" width="1.66796875" style="1" customWidth="1"/>
    <col min="13" max="13" width="7.99609375" style="1" customWidth="1"/>
    <col min="14" max="14" width="1.66796875" style="1" customWidth="1"/>
    <col min="15" max="15" width="6.10546875" style="1" customWidth="1"/>
    <col min="16" max="16" width="1.66796875" style="1" customWidth="1"/>
    <col min="17" max="17" width="5.6640625" style="1" customWidth="1"/>
    <col min="18" max="18" width="7.21484375" style="1" customWidth="1"/>
    <col min="19" max="19" width="1.66796875" style="1" customWidth="1"/>
    <col min="20" max="21" width="3.6640625" style="1" customWidth="1"/>
    <col min="22" max="22" width="4.6640625" style="1" customWidth="1"/>
    <col min="23" max="23" width="3.6640625" style="1" customWidth="1"/>
    <col min="24" max="26" width="4.6640625" style="1" customWidth="1"/>
    <col min="27" max="27" width="3.6640625" style="1" customWidth="1"/>
    <col min="28" max="30" width="4.6640625" style="1" customWidth="1"/>
    <col min="31" max="31" width="5.6640625" style="1" customWidth="1"/>
    <col min="32" max="247" width="9.6640625" style="1" customWidth="1"/>
    <col min="248" max="16384" width="9.6640625" style="0" customWidth="1"/>
  </cols>
  <sheetData>
    <row r="1" spans="1:247" ht="15.75">
      <c r="A1" s="2"/>
      <c r="B1" s="4"/>
      <c r="C1" s="2" t="s">
        <v>8</v>
      </c>
      <c r="D1" s="2" t="s">
        <v>10</v>
      </c>
      <c r="E1" s="5" t="s">
        <v>12</v>
      </c>
      <c r="F1" s="7"/>
      <c r="G1" s="8" t="s">
        <v>13</v>
      </c>
      <c r="H1" s="7"/>
      <c r="I1" s="7"/>
      <c r="J1" s="7"/>
      <c r="K1" s="7"/>
      <c r="L1" s="7"/>
      <c r="M1" s="7"/>
      <c r="N1" s="9" t="s">
        <v>17</v>
      </c>
      <c r="O1" s="9"/>
      <c r="P1" s="9"/>
      <c r="Q1" s="7"/>
      <c r="R1" s="10"/>
      <c r="S1" s="12"/>
      <c r="T1" s="10"/>
      <c r="U1" s="11"/>
      <c r="V1" s="10"/>
      <c r="W1" s="7"/>
      <c r="X1" s="11"/>
      <c r="Y1" s="10"/>
      <c r="Z1" s="11"/>
      <c r="AA1" s="11"/>
      <c r="AB1" s="11"/>
      <c r="AC1" s="11"/>
      <c r="AD1" s="11"/>
      <c r="AE1" s="11"/>
      <c r="AF1" s="11"/>
      <c r="AG1" s="11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1:247" ht="15.75">
      <c r="A2" s="2">
        <f>ASIN((SIN(B19*PI()/180)*SIN(D19*PI()/180))+(COS(B19*PI()/180)*COS(D19*PI()/180)*COS(A21*PI()/180)))*180/PI()</f>
        <v>28.800620281556</v>
      </c>
      <c r="B2" s="4"/>
      <c r="C2" s="2">
        <f>IF(A2&lt;0,-A2,A2)</f>
        <v>28.800620281556</v>
      </c>
      <c r="D2" s="2">
        <f>IF(E2-C2&gt;1,E2-2,E2-1)</f>
        <v>28</v>
      </c>
      <c r="E2" s="2">
        <f>EVEN(C2)</f>
        <v>30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"/>
      <c r="T2" s="7"/>
      <c r="U2" s="11"/>
      <c r="V2" s="7"/>
      <c r="W2" s="7"/>
      <c r="X2" s="11"/>
      <c r="Y2" s="7"/>
      <c r="Z2" s="11"/>
      <c r="AA2" s="11"/>
      <c r="AB2" s="11"/>
      <c r="AC2" s="11"/>
      <c r="AD2" s="11"/>
      <c r="AE2" s="11"/>
      <c r="AF2" s="11"/>
      <c r="AG2" s="11"/>
      <c r="AH2" s="3"/>
      <c r="AI2" s="3"/>
      <c r="AJ2" s="3"/>
      <c r="AK2" s="3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</row>
    <row r="3" spans="1:247" ht="15.75">
      <c r="A3" s="66" t="s">
        <v>4</v>
      </c>
      <c r="B3" s="67"/>
      <c r="C3" s="68"/>
      <c r="D3" s="66" t="s">
        <v>3</v>
      </c>
      <c r="E3" s="69"/>
      <c r="F3" s="70" t="s">
        <v>14</v>
      </c>
      <c r="G3" s="71"/>
      <c r="H3" s="72"/>
      <c r="I3" s="43" t="s">
        <v>15</v>
      </c>
      <c r="J3" s="48"/>
      <c r="K3" s="14" t="s">
        <v>16</v>
      </c>
      <c r="L3" s="15"/>
      <c r="M3" s="16" t="s">
        <v>26</v>
      </c>
      <c r="N3" s="13"/>
      <c r="O3" s="17" t="s">
        <v>18</v>
      </c>
      <c r="P3" s="18"/>
      <c r="Q3" s="64" t="s">
        <v>25</v>
      </c>
      <c r="R3" s="65"/>
      <c r="S3" s="19"/>
      <c r="T3" s="3"/>
      <c r="U3" s="3"/>
      <c r="V3" s="3"/>
      <c r="W3" s="3"/>
      <c r="X3" s="3"/>
      <c r="Y3" s="3"/>
      <c r="Z3" s="7"/>
      <c r="AA3" s="7"/>
      <c r="AB3" s="7"/>
      <c r="AC3" s="7"/>
      <c r="AD3" s="7"/>
      <c r="AE3" s="7"/>
      <c r="AF3" s="7"/>
      <c r="AG3" s="7"/>
      <c r="AH3" s="3"/>
      <c r="AI3" s="3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47" ht="15" customHeight="1">
      <c r="A4" s="50">
        <v>17</v>
      </c>
      <c r="B4" s="51">
        <v>38.3</v>
      </c>
      <c r="C4" s="54" t="s">
        <v>9</v>
      </c>
      <c r="D4" s="56">
        <v>65</v>
      </c>
      <c r="E4" s="57">
        <v>35.5</v>
      </c>
      <c r="F4" s="58">
        <v>23</v>
      </c>
      <c r="G4" s="57">
        <v>24.1</v>
      </c>
      <c r="H4" s="59" t="s">
        <v>9</v>
      </c>
      <c r="I4" s="60">
        <v>287.4</v>
      </c>
      <c r="J4" s="13"/>
      <c r="K4" s="33">
        <f>IF(A21&lt;180,360-M4,M4)</f>
        <v>287.5054545286604</v>
      </c>
      <c r="L4" s="20"/>
      <c r="M4" s="37">
        <f>IF(C4=H4,E21,D21)</f>
        <v>72.49454547133962</v>
      </c>
      <c r="N4" s="21"/>
      <c r="O4" s="34">
        <f>IF(A21&gt;180,180-M4,180+M4)</f>
        <v>252.49454547133962</v>
      </c>
      <c r="P4" s="22"/>
      <c r="Q4" s="35">
        <f>IF(D1&lt;0,D2-1,D2)</f>
        <v>28</v>
      </c>
      <c r="R4" s="36">
        <f>(C2-D2)*60</f>
        <v>48.03721689336001</v>
      </c>
      <c r="S4" s="13"/>
      <c r="T4" s="3"/>
      <c r="U4" s="3"/>
      <c r="V4" s="3"/>
      <c r="W4" s="3"/>
      <c r="X4" s="3"/>
      <c r="Y4" s="3"/>
      <c r="Z4" s="7"/>
      <c r="AA4" s="7"/>
      <c r="AB4" s="7"/>
      <c r="AC4" s="7"/>
      <c r="AD4" s="7"/>
      <c r="AE4" s="7"/>
      <c r="AF4" s="7"/>
      <c r="AG4" s="7"/>
      <c r="AH4" s="3"/>
      <c r="AI4" s="3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</row>
    <row r="5" spans="1:247" ht="15.75">
      <c r="A5" s="23"/>
      <c r="B5" s="23"/>
      <c r="C5" s="23"/>
      <c r="D5" s="23"/>
      <c r="E5" s="23"/>
      <c r="F5" s="23"/>
      <c r="G5" s="23"/>
      <c r="H5" s="23"/>
      <c r="I5" s="23"/>
      <c r="J5" s="7"/>
      <c r="K5" s="7"/>
      <c r="L5" s="7"/>
      <c r="M5" s="23"/>
      <c r="N5" s="7"/>
      <c r="O5" s="7"/>
      <c r="P5" s="7"/>
      <c r="Q5" s="23"/>
      <c r="R5" s="23"/>
      <c r="S5" s="3"/>
      <c r="T5" s="3"/>
      <c r="U5" s="3"/>
      <c r="V5" s="3"/>
      <c r="W5" s="3"/>
      <c r="X5" s="3"/>
      <c r="Y5" s="3"/>
      <c r="Z5" s="7"/>
      <c r="AA5" s="7"/>
      <c r="AB5" s="7"/>
      <c r="AC5" s="7"/>
      <c r="AD5" s="7"/>
      <c r="AE5" s="7"/>
      <c r="AF5" s="7"/>
      <c r="AG5" s="7"/>
      <c r="AH5" s="3"/>
      <c r="AI5" s="3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</row>
    <row r="6" spans="1:247" ht="15.75">
      <c r="A6" s="7"/>
      <c r="B6" s="11"/>
      <c r="C6" s="11"/>
      <c r="D6" s="11"/>
      <c r="E6" s="11"/>
      <c r="F6" s="11"/>
      <c r="G6" s="11"/>
      <c r="H6" s="11"/>
      <c r="I6" s="7"/>
      <c r="J6" s="7"/>
      <c r="K6" s="7"/>
      <c r="L6" s="7"/>
      <c r="M6" s="7"/>
      <c r="N6" s="7"/>
      <c r="O6" s="7"/>
      <c r="P6" s="7"/>
      <c r="Q6" s="7"/>
      <c r="R6" s="7"/>
      <c r="S6" s="3"/>
      <c r="T6" s="3"/>
      <c r="U6" s="3"/>
      <c r="V6" s="3"/>
      <c r="W6" s="3"/>
      <c r="X6" s="3"/>
      <c r="Y6" s="3"/>
      <c r="Z6" s="7"/>
      <c r="AA6" s="7"/>
      <c r="AB6" s="7"/>
      <c r="AC6" s="7"/>
      <c r="AD6" s="7"/>
      <c r="AE6" s="7"/>
      <c r="AF6" s="7"/>
      <c r="AG6" s="7"/>
      <c r="AH6" s="3"/>
      <c r="AI6" s="3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</row>
    <row r="7" spans="1:247" ht="15.75">
      <c r="A7" s="7"/>
      <c r="B7" s="11"/>
      <c r="C7" s="11"/>
      <c r="D7" s="11"/>
      <c r="E7" s="11"/>
      <c r="F7" s="11"/>
      <c r="G7" s="11"/>
      <c r="H7" s="11"/>
      <c r="I7" s="7"/>
      <c r="J7" s="11"/>
      <c r="K7" s="11"/>
      <c r="L7" s="11"/>
      <c r="M7" s="11"/>
      <c r="N7" s="11"/>
      <c r="O7" s="11"/>
      <c r="P7" s="11"/>
      <c r="Q7" s="11"/>
      <c r="R7" s="11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247" ht="18.75">
      <c r="A8" s="7"/>
      <c r="B8" s="11"/>
      <c r="C8" s="11"/>
      <c r="D8" s="11"/>
      <c r="E8" s="11"/>
      <c r="F8" s="7"/>
      <c r="G8" s="7"/>
      <c r="H8" s="7"/>
      <c r="I8" s="7"/>
      <c r="J8" s="11"/>
      <c r="K8" s="11"/>
      <c r="L8" s="11"/>
      <c r="M8" s="11"/>
      <c r="N8" s="62" t="s">
        <v>20</v>
      </c>
      <c r="O8" s="62"/>
      <c r="P8" s="62"/>
      <c r="Q8" s="62"/>
      <c r="R8" s="44">
        <f>IF(C4="N",K4-I4,O4-I4)</f>
        <v>0.1054545286604025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</row>
    <row r="9" spans="1:247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</row>
    <row r="10" spans="1:247" ht="16.5" customHeight="1">
      <c r="A10" s="7"/>
      <c r="B10" s="7"/>
      <c r="C10" s="7"/>
      <c r="D10" s="7"/>
      <c r="E10" s="7"/>
      <c r="F10" s="7"/>
      <c r="G10" s="7"/>
      <c r="H10" s="11"/>
      <c r="I10" s="1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47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2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247" ht="15.75">
      <c r="A12" s="25" t="s">
        <v>0</v>
      </c>
      <c r="B12" s="63" t="s">
        <v>5</v>
      </c>
      <c r="C12" s="63"/>
      <c r="D12" s="63"/>
      <c r="E12" s="63"/>
      <c r="F12" s="63"/>
      <c r="G12" s="63"/>
      <c r="H12" s="63"/>
      <c r="I12" s="63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</row>
    <row r="13" spans="1:247" ht="15.75">
      <c r="A13" s="27"/>
      <c r="B13" s="63" t="s">
        <v>6</v>
      </c>
      <c r="C13" s="63"/>
      <c r="D13" s="63"/>
      <c r="E13" s="63"/>
      <c r="F13" s="63"/>
      <c r="G13" s="63"/>
      <c r="H13" s="63"/>
      <c r="I13" s="63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247" ht="15.75">
      <c r="A14" s="11"/>
      <c r="B14" s="11"/>
      <c r="C14" s="11"/>
      <c r="D14" s="11"/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</row>
    <row r="15" spans="1:247" ht="15.75">
      <c r="A15" s="2" t="s">
        <v>1</v>
      </c>
      <c r="B15" s="3"/>
      <c r="C15" s="3"/>
      <c r="D15" s="3"/>
      <c r="E15" s="3"/>
      <c r="F15" s="7"/>
      <c r="G15" s="7"/>
      <c r="H15" s="7"/>
      <c r="I15" s="1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</row>
    <row r="16" spans="1:247" ht="15.75">
      <c r="A16" s="2">
        <f>ATAN((COS(D19*PI()/180)*SIN(A21*PI()/180))/((COS(B19*PI()/180)*SIN(D19*PI()/180))-(SIN(B19*PI()/180)*COS(D19*PI()/180)*COS(A21*PI()/180))))*180/PI()</f>
        <v>72.49454547133962</v>
      </c>
      <c r="B16" s="12">
        <f>IF(A16&lt;0,-A16,180-A16)</f>
        <v>107.50545452866038</v>
      </c>
      <c r="C16" s="2">
        <f>IF(A21&gt;180,180-B16,B16)</f>
        <v>107.50545452866038</v>
      </c>
      <c r="D16" s="4"/>
      <c r="E16" s="4"/>
      <c r="F16" s="7"/>
      <c r="G16" s="7"/>
      <c r="H16" s="7"/>
      <c r="I16" s="1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</row>
    <row r="17" spans="1:247" ht="15.75">
      <c r="A17" s="3"/>
      <c r="B17" s="4"/>
      <c r="C17" s="4"/>
      <c r="D17" s="4"/>
      <c r="E17" s="4"/>
      <c r="F17" s="7"/>
      <c r="G17" s="11"/>
      <c r="H17" s="7"/>
      <c r="I17" s="1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</row>
    <row r="18" spans="1:247" ht="15.75">
      <c r="A18" s="2" t="s">
        <v>2</v>
      </c>
      <c r="B18" s="2" t="s">
        <v>7</v>
      </c>
      <c r="C18" s="4"/>
      <c r="D18" s="2" t="s">
        <v>11</v>
      </c>
      <c r="E18" s="4"/>
      <c r="F18" s="28"/>
      <c r="G18" s="11"/>
      <c r="H18" s="7"/>
      <c r="I18" s="11"/>
      <c r="J18" s="7"/>
      <c r="K18" s="7"/>
      <c r="L18" s="7"/>
      <c r="M18" s="11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</row>
    <row r="19" spans="1:247" ht="15.75">
      <c r="A19" s="29">
        <f>IF(C16&gt;180,180-B16,C16)</f>
        <v>107.50545452866038</v>
      </c>
      <c r="B19" s="2">
        <f>IF(C4="N",(B4/60)+A4,-((B4/60)+A4))</f>
        <v>17.638333333333332</v>
      </c>
      <c r="C19" s="3"/>
      <c r="D19" s="2">
        <f>IF(H4="N",(G4/60)+F4,-((G4/60)+F4))</f>
        <v>23.401666666666667</v>
      </c>
      <c r="E19" s="4"/>
      <c r="F19" s="7"/>
      <c r="G19" s="11"/>
      <c r="H19" s="7"/>
      <c r="I19" s="11"/>
      <c r="J19" s="7"/>
      <c r="K19" s="7"/>
      <c r="L19" s="7"/>
      <c r="M19" s="7"/>
      <c r="N19" s="7"/>
      <c r="O19" s="7"/>
      <c r="P19" s="7"/>
      <c r="Q19" s="7"/>
      <c r="R19" s="11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ht="15.75">
      <c r="A20" s="2" t="s">
        <v>3</v>
      </c>
      <c r="B20" s="3"/>
      <c r="C20" s="3"/>
      <c r="D20" s="2" t="s">
        <v>2</v>
      </c>
      <c r="E20" s="2" t="s">
        <v>2</v>
      </c>
      <c r="F20" s="7"/>
      <c r="G20" s="11"/>
      <c r="H20" s="7"/>
      <c r="I20" s="11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ht="15.75">
      <c r="A21" s="2">
        <f>E4/60+D4</f>
        <v>65.59166666666667</v>
      </c>
      <c r="B21" s="3"/>
      <c r="C21" s="3"/>
      <c r="D21" s="30">
        <f>IF(C4=H4,180-B16,C16)</f>
        <v>72.49454547133962</v>
      </c>
      <c r="E21" s="30">
        <f>IF(A21&gt;180,B16,180-B16)</f>
        <v>72.49454547133962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ht="15.75">
      <c r="A22" s="2">
        <f>IF(A16&lt;0,A16+180,A16)</f>
        <v>72.49454547133962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247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247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</row>
    <row r="43" spans="1:247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</row>
    <row r="44" spans="1:247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</row>
    <row r="45" spans="1:247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</row>
    <row r="46" spans="1:247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</row>
    <row r="47" spans="1:247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</row>
    <row r="48" spans="1:247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247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</row>
    <row r="50" spans="1:247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</row>
    <row r="51" spans="1:247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</row>
    <row r="52" spans="1:247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</row>
    <row r="53" spans="1:247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</row>
    <row r="54" spans="1:247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</row>
    <row r="55" spans="1:247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</row>
    <row r="56" spans="1:247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</row>
    <row r="57" spans="1:247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1" spans="1:247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</row>
    <row r="72" spans="1:247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</row>
  </sheetData>
  <sheetProtection sheet="1" objects="1" scenarios="1"/>
  <mergeCells count="7">
    <mergeCell ref="N8:Q8"/>
    <mergeCell ref="B12:I12"/>
    <mergeCell ref="B13:I13"/>
    <mergeCell ref="Q3:R3"/>
    <mergeCell ref="A3:C3"/>
    <mergeCell ref="D3:E3"/>
    <mergeCell ref="F3:H3"/>
  </mergeCells>
  <printOptions/>
  <pageMargins left="0.35" right="0.275" top="0.5777777777777777" bottom="0.5" header="0" footer="0"/>
  <pageSetup horizontalDpi="360" verticalDpi="360" orientation="landscape" paperSize="9" r:id="rId4"/>
  <drawing r:id="rId3"/>
  <legacyDrawing r:id="rId2"/>
  <oleObjects>
    <oleObject progId="PBrush" shapeId="24559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"/>
  <sheetViews>
    <sheetView showGridLines="0" showRowColHeaders="0" showOutlineSymbols="0" zoomScale="92" zoomScaleNormal="92" workbookViewId="0" topLeftCell="A1">
      <selection activeCell="F7" sqref="F7"/>
    </sheetView>
  </sheetViews>
  <sheetFormatPr defaultColWidth="8.88671875" defaultRowHeight="15"/>
  <cols>
    <col min="1" max="1" width="5.6640625" style="1" customWidth="1"/>
    <col min="2" max="2" width="6.4453125" style="1" customWidth="1"/>
    <col min="3" max="3" width="3.21484375" style="1" customWidth="1"/>
    <col min="4" max="4" width="5.88671875" style="1" customWidth="1"/>
    <col min="5" max="5" width="6.4453125" style="1" customWidth="1"/>
    <col min="6" max="6" width="4.10546875" style="1" customWidth="1"/>
    <col min="7" max="7" width="5.5546875" style="1" customWidth="1"/>
    <col min="8" max="8" width="7.10546875" style="1" customWidth="1"/>
    <col min="9" max="9" width="6.10546875" style="1" customWidth="1"/>
    <col min="10" max="10" width="5.99609375" style="1" customWidth="1"/>
    <col min="11" max="11" width="2.6640625" style="1" customWidth="1"/>
    <col min="12" max="12" width="8.21484375" style="1" customWidth="1"/>
    <col min="13" max="13" width="3.6640625" style="1" customWidth="1"/>
    <col min="14" max="14" width="8.4453125" style="1" customWidth="1"/>
    <col min="15" max="15" width="2.6640625" style="1" customWidth="1"/>
    <col min="16" max="16" width="5.6640625" style="1" customWidth="1"/>
    <col min="17" max="17" width="5.21484375" style="1" customWidth="1"/>
    <col min="18" max="245" width="9.6640625" style="1" customWidth="1"/>
    <col min="246" max="16384" width="9.6640625" style="0" customWidth="1"/>
  </cols>
  <sheetData>
    <row r="1" spans="1:33" ht="15.75">
      <c r="A1" s="2"/>
      <c r="B1" s="2" t="s">
        <v>2</v>
      </c>
      <c r="C1" s="2" t="s">
        <v>8</v>
      </c>
      <c r="D1" s="2" t="s">
        <v>10</v>
      </c>
      <c r="E1" s="5" t="s">
        <v>12</v>
      </c>
      <c r="F1" s="6"/>
      <c r="G1" s="31" t="s">
        <v>13</v>
      </c>
      <c r="H1" s="6"/>
      <c r="I1" s="7"/>
      <c r="J1" s="7"/>
      <c r="K1" s="7"/>
      <c r="L1" s="7"/>
      <c r="M1" s="7"/>
      <c r="N1" s="7"/>
      <c r="O1" s="32" t="s">
        <v>17</v>
      </c>
      <c r="P1" s="7"/>
      <c r="Q1" s="2" t="s">
        <v>19</v>
      </c>
      <c r="R1" s="2" t="s">
        <v>23</v>
      </c>
      <c r="S1" s="12"/>
      <c r="T1" s="2" t="s">
        <v>3</v>
      </c>
      <c r="U1" s="12"/>
      <c r="V1" s="3"/>
      <c r="W1" s="2" t="s">
        <v>7</v>
      </c>
      <c r="X1" s="12"/>
      <c r="Y1" s="2" t="s">
        <v>11</v>
      </c>
      <c r="Z1" s="12"/>
      <c r="AA1" s="2" t="s">
        <v>1</v>
      </c>
      <c r="AB1" s="3"/>
      <c r="AC1" s="2"/>
      <c r="AD1" s="3"/>
      <c r="AE1" s="2"/>
      <c r="AF1" s="3"/>
      <c r="AG1" s="3"/>
    </row>
    <row r="2" spans="1:33" ht="15.75">
      <c r="A2" s="2">
        <f>ASIN((SIN(W2*PI()/180)*SIN(Y2*PI()/180))+(COS(W2*PI()/180)*COS(Y2*PI()/180)*COS(T2*PI()/180)))*180/PI()</f>
        <v>56.76196589977093</v>
      </c>
      <c r="B2" s="29">
        <f>IF(AE2&gt;180,180-AC2,AE2)</f>
        <v>73.9939289119355</v>
      </c>
      <c r="C2" s="2">
        <f>IF(A2&lt;0,-A2,A2)</f>
        <v>56.76196589977093</v>
      </c>
      <c r="D2" s="2">
        <f>IF(E2-C2&gt;1,E2-2,E2-1)</f>
        <v>56</v>
      </c>
      <c r="E2" s="2">
        <f>EVEN(C2)</f>
        <v>58</v>
      </c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2">
        <f>IF(F4="E",(E4/60)+D4,-((E4/60)+D4))</f>
        <v>-67.65166666666667</v>
      </c>
      <c r="R2" s="2">
        <f>(H4/60)+G4</f>
        <v>102.69333333333333</v>
      </c>
      <c r="S2" s="3"/>
      <c r="T2" s="2">
        <f>R2+Q2</f>
        <v>35.04166666666666</v>
      </c>
      <c r="U2" s="3"/>
      <c r="V2" s="3"/>
      <c r="W2" s="12">
        <f>IF(C4="N",(B4/60)+A4,-((B4/60)+A4))</f>
        <v>17.638333333333332</v>
      </c>
      <c r="X2" s="3"/>
      <c r="Y2" s="12">
        <f>IF(K4="N",(J4/60)+I4,-((J4/60)+I4))</f>
        <v>23.42</v>
      </c>
      <c r="Z2" s="3"/>
      <c r="AA2" s="2">
        <f>ATAN((COS(Y2*PI()/180)*SIN(T2*PI()/180))/((COS(W2*PI()/180)*SIN(Y2*PI()/180))-(SIN(W2*PI()/180)*COS(Y2*PI()/180)*COS(T2*PI()/180))))*180/PI()</f>
        <v>73.9939289119355</v>
      </c>
      <c r="AB2" s="3"/>
      <c r="AC2" s="12">
        <f>IF(AA2&lt;0,-AA2,180-AA2)</f>
        <v>106.0060710880645</v>
      </c>
      <c r="AD2" s="3"/>
      <c r="AE2" s="2">
        <f>IF(T2&gt;180,AC2,360-AC2)</f>
        <v>253.99392891193548</v>
      </c>
      <c r="AF2" s="3"/>
      <c r="AG2" s="3"/>
    </row>
    <row r="3" spans="1:33" ht="15.75">
      <c r="A3" s="75" t="s">
        <v>4</v>
      </c>
      <c r="B3" s="76"/>
      <c r="C3" s="77"/>
      <c r="D3" s="75" t="s">
        <v>21</v>
      </c>
      <c r="E3" s="76"/>
      <c r="F3" s="77"/>
      <c r="G3" s="75" t="s">
        <v>23</v>
      </c>
      <c r="H3" s="77"/>
      <c r="I3" s="75" t="s">
        <v>14</v>
      </c>
      <c r="J3" s="76"/>
      <c r="K3" s="77"/>
      <c r="L3" s="61" t="s">
        <v>15</v>
      </c>
      <c r="M3" s="38" t="s">
        <v>24</v>
      </c>
      <c r="N3" s="16" t="s">
        <v>26</v>
      </c>
      <c r="O3" s="39" t="s">
        <v>24</v>
      </c>
      <c r="P3" s="64" t="s">
        <v>25</v>
      </c>
      <c r="Q3" s="65"/>
      <c r="R3" s="1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75">
      <c r="A4" s="50">
        <v>17</v>
      </c>
      <c r="B4" s="51">
        <v>38.3</v>
      </c>
      <c r="C4" s="52" t="s">
        <v>9</v>
      </c>
      <c r="D4" s="53">
        <v>67</v>
      </c>
      <c r="E4" s="51">
        <v>39.1</v>
      </c>
      <c r="F4" s="54" t="s">
        <v>22</v>
      </c>
      <c r="G4" s="53">
        <v>102</v>
      </c>
      <c r="H4" s="51">
        <v>41.6</v>
      </c>
      <c r="I4" s="50">
        <v>23</v>
      </c>
      <c r="J4" s="51">
        <v>25.2</v>
      </c>
      <c r="K4" s="54" t="s">
        <v>9</v>
      </c>
      <c r="L4" s="55">
        <v>287.4</v>
      </c>
      <c r="M4" s="40">
        <f>IF(T2&lt;180,360-N4,N4)</f>
        <v>286.0060710880645</v>
      </c>
      <c r="N4" s="37">
        <f>IF(A2&lt;0,180-B2,B2)</f>
        <v>73.9939289119355</v>
      </c>
      <c r="O4" s="41">
        <f>IF(T2&gt;180,180-N4,180+N4)</f>
        <v>253.99392891193548</v>
      </c>
      <c r="P4" s="49">
        <f>IF(D1&lt;0,D2-1,D2)</f>
        <v>56</v>
      </c>
      <c r="Q4" s="36">
        <f>(C2-D2)*60</f>
        <v>45.71795398625568</v>
      </c>
      <c r="R4" s="42">
        <f>IF(AA2&lt;0,AA2+180,AA2)</f>
        <v>73.9939289119355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7"/>
      <c r="N5" s="23"/>
      <c r="O5" s="7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.75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  <c r="L6" s="7"/>
      <c r="M6" s="7"/>
      <c r="N6" s="7"/>
      <c r="O6" s="7"/>
      <c r="P6" s="7"/>
      <c r="Q6" s="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5.75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7"/>
      <c r="M7" s="11"/>
      <c r="N7" s="11"/>
      <c r="O7" s="11"/>
      <c r="P7" s="11"/>
      <c r="Q7" s="11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5.75">
      <c r="A8" s="7"/>
      <c r="B8" s="7"/>
      <c r="C8" s="7"/>
      <c r="D8" s="7"/>
      <c r="E8" s="7"/>
      <c r="F8" s="7"/>
      <c r="G8" s="7"/>
      <c r="H8" s="45"/>
      <c r="I8" s="7"/>
      <c r="J8" s="7"/>
      <c r="K8" s="7"/>
      <c r="L8" s="7"/>
      <c r="M8" s="11"/>
      <c r="N8" s="11"/>
      <c r="O8" s="11"/>
      <c r="P8" s="11"/>
      <c r="Q8" s="11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8.75">
      <c r="A10" s="7"/>
      <c r="B10" s="7"/>
      <c r="C10" s="7"/>
      <c r="D10" s="7"/>
      <c r="E10" s="7"/>
      <c r="F10" s="7"/>
      <c r="G10" s="7"/>
      <c r="H10" s="7"/>
      <c r="I10" s="74" t="s">
        <v>20</v>
      </c>
      <c r="J10" s="74"/>
      <c r="K10" s="74"/>
      <c r="L10" s="44">
        <f>IF(C4="N",M4-L4,O4-L4)</f>
        <v>-1.3939289119354612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5.75">
      <c r="A12" s="25" t="s">
        <v>0</v>
      </c>
      <c r="B12" s="73" t="s">
        <v>5</v>
      </c>
      <c r="C12" s="73"/>
      <c r="D12" s="73"/>
      <c r="E12" s="73"/>
      <c r="F12" s="73"/>
      <c r="G12" s="73"/>
      <c r="H12" s="7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5.75">
      <c r="A13" s="27"/>
      <c r="B13" s="2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5.75">
      <c r="A15" s="7"/>
      <c r="B15" s="11"/>
      <c r="C15" s="11"/>
      <c r="D15" s="11"/>
      <c r="E15" s="11"/>
      <c r="F15" s="11"/>
      <c r="G15" s="7"/>
      <c r="H15" s="7"/>
      <c r="I15" s="7"/>
      <c r="J15" s="7"/>
      <c r="K15" s="7"/>
      <c r="L15" s="11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5.75">
      <c r="A16" s="7"/>
      <c r="B16" s="11"/>
      <c r="C16" s="11"/>
      <c r="D16" s="11"/>
      <c r="E16" s="11"/>
      <c r="F16" s="11"/>
      <c r="G16" s="7"/>
      <c r="H16" s="7"/>
      <c r="I16" s="7"/>
      <c r="J16" s="7"/>
      <c r="K16" s="7"/>
      <c r="L16" s="11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5.75">
      <c r="A17" s="7"/>
      <c r="B17" s="7"/>
      <c r="C17" s="11"/>
      <c r="D17" s="11"/>
      <c r="E17" s="11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5.75">
      <c r="A18" s="7"/>
      <c r="B18" s="7"/>
      <c r="C18" s="7"/>
      <c r="D18" s="7"/>
      <c r="E18" s="46"/>
      <c r="F18" s="7"/>
      <c r="G18" s="47"/>
      <c r="H18" s="7"/>
      <c r="I18" s="28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</sheetData>
  <sheetProtection sheet="1" objects="1" scenarios="1"/>
  <mergeCells count="7">
    <mergeCell ref="P3:Q3"/>
    <mergeCell ref="B12:H12"/>
    <mergeCell ref="I10:K10"/>
    <mergeCell ref="A3:C3"/>
    <mergeCell ref="D3:F3"/>
    <mergeCell ref="G3:H3"/>
    <mergeCell ref="I3:K3"/>
  </mergeCells>
  <printOptions/>
  <pageMargins left="0.35" right="0.275" top="0.5777777777777777" bottom="0.5" header="0" footer="0"/>
  <pageSetup horizontalDpi="360" verticalDpi="360" orientation="landscape" paperSize="9" r:id="rId4"/>
  <drawing r:id="rId3"/>
  <legacyDrawing r:id="rId2"/>
  <oleObjects>
    <oleObject progId="PBrush" shapeId="24578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